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805" windowHeight="10740"/>
  </bookViews>
  <sheets>
    <sheet name="TABULADOR" sheetId="3" r:id="rId1"/>
    <sheet name="DESCRIPCIÓN DE REMUNERACIONES" sheetId="4" r:id="rId2"/>
  </sheets>
  <calcPr calcId="152511"/>
</workbook>
</file>

<file path=xl/calcChain.xml><?xml version="1.0" encoding="utf-8"?>
<calcChain xmlns="http://schemas.openxmlformats.org/spreadsheetml/2006/main">
  <c r="I197" i="3" l="1"/>
  <c r="I71" i="3"/>
  <c r="J189" i="3"/>
  <c r="J187" i="3"/>
  <c r="J167" i="3"/>
  <c r="I147" i="3"/>
  <c r="J143" i="3"/>
  <c r="J131" i="3"/>
  <c r="J121" i="3"/>
  <c r="I111" i="3"/>
  <c r="J105" i="3"/>
  <c r="J103" i="3"/>
  <c r="J99" i="3"/>
  <c r="J91" i="3"/>
  <c r="J79" i="3"/>
  <c r="I73" i="3"/>
  <c r="J63" i="3"/>
  <c r="I61" i="3"/>
  <c r="J61" i="3"/>
  <c r="J57" i="3"/>
  <c r="J55" i="3"/>
  <c r="J41" i="3"/>
  <c r="I41" i="3"/>
  <c r="I39" i="3"/>
  <c r="J39" i="3"/>
  <c r="J37" i="3"/>
  <c r="I37" i="3"/>
  <c r="J23" i="3"/>
  <c r="J15" i="3"/>
  <c r="J9" i="3"/>
  <c r="J7" i="3"/>
  <c r="J27" i="3"/>
  <c r="I27" i="3"/>
  <c r="I7" i="3"/>
  <c r="H200" i="3"/>
  <c r="I200" i="3"/>
  <c r="J200" i="3"/>
  <c r="K200" i="3"/>
  <c r="G154" i="3"/>
  <c r="F200" i="3"/>
  <c r="G200" i="3"/>
  <c r="E200" i="3"/>
  <c r="M197" i="3"/>
  <c r="M123" i="3"/>
  <c r="M125" i="3"/>
  <c r="M127" i="3"/>
  <c r="M129" i="3"/>
  <c r="M131" i="3"/>
  <c r="M107" i="3"/>
  <c r="M109" i="3"/>
  <c r="M111" i="3"/>
  <c r="M113" i="3"/>
  <c r="M115" i="3"/>
  <c r="M117" i="3"/>
  <c r="M119" i="3"/>
  <c r="M121" i="3"/>
  <c r="M105" i="3"/>
  <c r="M103" i="3"/>
  <c r="M101" i="3"/>
  <c r="M99" i="3"/>
  <c r="M97" i="3"/>
  <c r="M95" i="3"/>
  <c r="M93" i="3"/>
  <c r="M91" i="3"/>
  <c r="M89" i="3"/>
  <c r="M87" i="3"/>
  <c r="M85" i="3"/>
  <c r="M83" i="3"/>
  <c r="M81" i="3"/>
  <c r="M79" i="3"/>
  <c r="M77" i="3"/>
  <c r="M75" i="3"/>
  <c r="M73" i="3"/>
  <c r="M71" i="3"/>
  <c r="M69" i="3"/>
  <c r="M65" i="3"/>
  <c r="M61" i="3"/>
  <c r="M57" i="3"/>
  <c r="M9" i="3"/>
  <c r="M15" i="3"/>
  <c r="M11" i="3"/>
  <c r="E10" i="3"/>
  <c r="L10" i="3"/>
  <c r="M6" i="3"/>
  <c r="M5" i="3"/>
  <c r="J197" i="3"/>
  <c r="J195" i="3"/>
  <c r="J193" i="3"/>
  <c r="J191" i="3"/>
  <c r="J185" i="3"/>
  <c r="J183" i="3"/>
  <c r="J181" i="3"/>
  <c r="J179" i="3"/>
  <c r="J177" i="3"/>
  <c r="J175" i="3"/>
  <c r="J173" i="3"/>
  <c r="J171" i="3"/>
  <c r="J169" i="3"/>
  <c r="J165" i="3"/>
  <c r="J163" i="3"/>
  <c r="J161" i="3"/>
  <c r="J159" i="3"/>
  <c r="J157" i="3"/>
  <c r="J155" i="3"/>
  <c r="J153" i="3"/>
  <c r="J151" i="3"/>
  <c r="J149" i="3"/>
  <c r="J147" i="3"/>
  <c r="J145" i="3"/>
  <c r="J141" i="3"/>
  <c r="J139" i="3"/>
  <c r="J137" i="3"/>
  <c r="J135" i="3"/>
  <c r="J133" i="3"/>
  <c r="J129" i="3"/>
  <c r="J127" i="3"/>
  <c r="J125" i="3"/>
  <c r="J123" i="3"/>
  <c r="J119" i="3"/>
  <c r="J117" i="3"/>
  <c r="J115" i="3"/>
  <c r="J113" i="3"/>
  <c r="J111" i="3"/>
  <c r="J109" i="3"/>
  <c r="J107" i="3"/>
  <c r="J101" i="3"/>
  <c r="J97" i="3"/>
  <c r="J95" i="3"/>
  <c r="J93" i="3"/>
  <c r="J89" i="3"/>
  <c r="J87" i="3"/>
  <c r="J85" i="3"/>
  <c r="J83" i="3"/>
  <c r="J81" i="3"/>
  <c r="J77" i="3"/>
  <c r="J75" i="3"/>
  <c r="J73" i="3"/>
  <c r="J71" i="3"/>
  <c r="J69" i="3"/>
  <c r="J67" i="3"/>
  <c r="J65" i="3"/>
  <c r="J59" i="3"/>
  <c r="J53" i="3"/>
  <c r="J51" i="3"/>
  <c r="J49" i="3"/>
  <c r="J47" i="3"/>
  <c r="J45" i="3"/>
  <c r="J43" i="3"/>
  <c r="J35" i="3"/>
  <c r="J33" i="3"/>
  <c r="J31" i="3"/>
  <c r="J29" i="3"/>
  <c r="J25" i="3"/>
  <c r="J21" i="3"/>
  <c r="J19" i="3"/>
  <c r="J17" i="3"/>
  <c r="I195" i="3"/>
  <c r="I193" i="3"/>
  <c r="I191" i="3"/>
  <c r="I189" i="3"/>
  <c r="I187" i="3"/>
  <c r="I185" i="3"/>
  <c r="I183" i="3"/>
  <c r="I181" i="3"/>
  <c r="I179" i="3"/>
  <c r="I177" i="3"/>
  <c r="I175" i="3"/>
  <c r="I173" i="3"/>
  <c r="I171" i="3"/>
  <c r="I169" i="3"/>
  <c r="I167" i="3"/>
  <c r="I165" i="3"/>
  <c r="I163" i="3"/>
  <c r="I161" i="3"/>
  <c r="I159" i="3"/>
  <c r="I157" i="3"/>
  <c r="I155" i="3"/>
  <c r="I153" i="3"/>
  <c r="I151" i="3"/>
  <c r="I149" i="3"/>
  <c r="I145" i="3"/>
  <c r="I143" i="3"/>
  <c r="I141" i="3"/>
  <c r="I139" i="3"/>
  <c r="I137" i="3"/>
  <c r="I135" i="3"/>
  <c r="I133" i="3"/>
  <c r="I131" i="3"/>
  <c r="I129" i="3"/>
  <c r="I127" i="3"/>
  <c r="I125" i="3"/>
  <c r="I123" i="3"/>
  <c r="I121" i="3"/>
  <c r="I119" i="3"/>
  <c r="I117" i="3"/>
  <c r="I115" i="3"/>
  <c r="I113" i="3"/>
  <c r="I109" i="3"/>
  <c r="I107" i="3"/>
  <c r="I105" i="3"/>
  <c r="I103" i="3"/>
  <c r="I101" i="3"/>
  <c r="I99" i="3"/>
  <c r="I97" i="3"/>
  <c r="I95" i="3"/>
  <c r="I93" i="3"/>
  <c r="I91" i="3"/>
  <c r="I89" i="3"/>
  <c r="I87" i="3"/>
  <c r="I85" i="3"/>
  <c r="I83" i="3"/>
  <c r="I81" i="3"/>
  <c r="I79" i="3"/>
  <c r="I77" i="3"/>
  <c r="I75" i="3"/>
  <c r="I69" i="3"/>
  <c r="I67" i="3"/>
  <c r="I65" i="3"/>
  <c r="I63" i="3"/>
  <c r="I59" i="3"/>
  <c r="I57" i="3"/>
  <c r="I55" i="3"/>
  <c r="I53" i="3"/>
  <c r="I51" i="3"/>
  <c r="I49" i="3"/>
  <c r="I47" i="3"/>
  <c r="I45" i="3"/>
  <c r="I43" i="3"/>
  <c r="I35" i="3"/>
  <c r="I33" i="3"/>
  <c r="I31" i="3"/>
  <c r="I29" i="3"/>
  <c r="I25" i="3"/>
  <c r="I23" i="3"/>
  <c r="I21" i="3"/>
  <c r="I19" i="3"/>
  <c r="I17" i="3"/>
  <c r="I15" i="3"/>
  <c r="I13" i="3"/>
  <c r="I9" i="3"/>
  <c r="J13" i="3"/>
  <c r="G198" i="3"/>
  <c r="G196" i="3"/>
  <c r="G194" i="3"/>
  <c r="G192" i="3"/>
  <c r="G190" i="3"/>
  <c r="G188" i="3"/>
  <c r="G186" i="3"/>
  <c r="G184" i="3"/>
  <c r="G182" i="3"/>
  <c r="G180" i="3"/>
  <c r="G178" i="3"/>
  <c r="G176" i="3"/>
  <c r="G174" i="3"/>
  <c r="G172" i="3"/>
  <c r="G170" i="3"/>
  <c r="G168" i="3"/>
  <c r="G166" i="3"/>
  <c r="G164" i="3"/>
  <c r="G162" i="3"/>
  <c r="G160" i="3"/>
  <c r="G158" i="3"/>
  <c r="G156" i="3"/>
  <c r="G152" i="3"/>
  <c r="G150" i="3"/>
  <c r="G148" i="3"/>
  <c r="G146" i="3"/>
  <c r="G144" i="3"/>
  <c r="G142" i="3"/>
  <c r="G140" i="3"/>
  <c r="G138" i="3"/>
  <c r="G136" i="3"/>
  <c r="G134" i="3"/>
  <c r="G132" i="3"/>
  <c r="G130" i="3"/>
  <c r="G128" i="3"/>
  <c r="G126" i="3"/>
  <c r="G124" i="3"/>
  <c r="G122" i="3"/>
  <c r="G120" i="3"/>
  <c r="G118" i="3"/>
  <c r="G116" i="3"/>
  <c r="G114" i="3"/>
  <c r="G112" i="3"/>
  <c r="G110" i="3"/>
  <c r="G108" i="3"/>
  <c r="G106" i="3"/>
  <c r="G104" i="3"/>
  <c r="G102" i="3"/>
  <c r="G100" i="3"/>
  <c r="G98" i="3"/>
  <c r="G96" i="3"/>
  <c r="G94" i="3"/>
  <c r="G92" i="3"/>
  <c r="G90" i="3"/>
  <c r="G88" i="3"/>
  <c r="G86" i="3"/>
  <c r="G84" i="3"/>
  <c r="G82" i="3"/>
  <c r="G80" i="3"/>
  <c r="G78" i="3"/>
  <c r="G76" i="3"/>
  <c r="G74" i="3"/>
  <c r="G72" i="3"/>
  <c r="G70" i="3"/>
  <c r="G68" i="3"/>
  <c r="G66" i="3"/>
  <c r="G64" i="3"/>
  <c r="G62" i="3"/>
  <c r="G60" i="3"/>
  <c r="G58" i="3"/>
  <c r="G56" i="3"/>
  <c r="G54" i="3"/>
  <c r="G52" i="3"/>
  <c r="G50" i="3"/>
  <c r="G48" i="3"/>
  <c r="G46" i="3"/>
  <c r="G44" i="3"/>
  <c r="G42" i="3"/>
  <c r="G40" i="3"/>
  <c r="G38" i="3"/>
  <c r="G36" i="3"/>
  <c r="G34" i="3"/>
  <c r="G32" i="3"/>
  <c r="G30" i="3"/>
  <c r="G28" i="3"/>
  <c r="G26" i="3"/>
  <c r="G24" i="3"/>
  <c r="G22" i="3"/>
  <c r="G20" i="3"/>
  <c r="G18" i="3"/>
  <c r="G16" i="3"/>
  <c r="G14" i="3"/>
  <c r="G12" i="3"/>
  <c r="G10" i="3"/>
  <c r="G8" i="3"/>
  <c r="G6" i="3"/>
  <c r="G5" i="3"/>
  <c r="L54" i="3"/>
  <c r="M53" i="3" s="1"/>
  <c r="L198" i="3"/>
  <c r="L196" i="3"/>
  <c r="M195" i="3" s="1"/>
  <c r="L194" i="3"/>
  <c r="M193" i="3" s="1"/>
  <c r="L192" i="3"/>
  <c r="M191" i="3" s="1"/>
  <c r="L190" i="3"/>
  <c r="M189" i="3" s="1"/>
  <c r="L188" i="3"/>
  <c r="M187" i="3" s="1"/>
  <c r="L186" i="3"/>
  <c r="M185" i="3" s="1"/>
  <c r="L184" i="3"/>
  <c r="M183" i="3" s="1"/>
  <c r="L182" i="3"/>
  <c r="M181" i="3" s="1"/>
  <c r="L180" i="3"/>
  <c r="M179" i="3" s="1"/>
  <c r="L178" i="3"/>
  <c r="M177" i="3" s="1"/>
  <c r="L176" i="3"/>
  <c r="M175" i="3" s="1"/>
  <c r="L174" i="3"/>
  <c r="M173" i="3" s="1"/>
  <c r="L172" i="3"/>
  <c r="M171" i="3" s="1"/>
  <c r="L170" i="3"/>
  <c r="M169" i="3" s="1"/>
  <c r="L168" i="3"/>
  <c r="M167" i="3" s="1"/>
  <c r="L166" i="3"/>
  <c r="M165" i="3" s="1"/>
  <c r="L164" i="3"/>
  <c r="M163" i="3" s="1"/>
  <c r="L162" i="3"/>
  <c r="M161" i="3" s="1"/>
  <c r="L160" i="3"/>
  <c r="M159" i="3" s="1"/>
  <c r="L158" i="3"/>
  <c r="M157" i="3" s="1"/>
  <c r="L156" i="3"/>
  <c r="M155" i="3" s="1"/>
  <c r="L154" i="3"/>
  <c r="M153" i="3" s="1"/>
  <c r="L152" i="3"/>
  <c r="M151" i="3" s="1"/>
  <c r="L150" i="3"/>
  <c r="M149" i="3" s="1"/>
  <c r="L148" i="3"/>
  <c r="M147" i="3" s="1"/>
  <c r="L146" i="3"/>
  <c r="M145" i="3" s="1"/>
  <c r="L144" i="3"/>
  <c r="M143" i="3" s="1"/>
  <c r="L142" i="3"/>
  <c r="M141" i="3" s="1"/>
  <c r="L140" i="3"/>
  <c r="M139" i="3" s="1"/>
  <c r="L138" i="3"/>
  <c r="M137" i="3" s="1"/>
  <c r="L136" i="3"/>
  <c r="M135" i="3" s="1"/>
  <c r="L134" i="3"/>
  <c r="L200" i="3" s="1"/>
  <c r="L132" i="3"/>
  <c r="L130" i="3"/>
  <c r="L128" i="3"/>
  <c r="L126" i="3"/>
  <c r="L124" i="3"/>
  <c r="L122" i="3"/>
  <c r="L120" i="3"/>
  <c r="L118" i="3"/>
  <c r="L116" i="3"/>
  <c r="L114" i="3"/>
  <c r="L112" i="3"/>
  <c r="L110" i="3"/>
  <c r="L108" i="3"/>
  <c r="L106" i="3"/>
  <c r="L104" i="3"/>
  <c r="L102" i="3"/>
  <c r="L100" i="3"/>
  <c r="L98" i="3"/>
  <c r="L96" i="3"/>
  <c r="L94" i="3"/>
  <c r="L92" i="3"/>
  <c r="L90" i="3"/>
  <c r="L88" i="3"/>
  <c r="L86" i="3"/>
  <c r="L84" i="3"/>
  <c r="L82" i="3"/>
  <c r="L80" i="3"/>
  <c r="L78" i="3"/>
  <c r="L76" i="3"/>
  <c r="L74" i="3"/>
  <c r="L72" i="3"/>
  <c r="L70" i="3"/>
  <c r="L68" i="3"/>
  <c r="M67" i="3" s="1"/>
  <c r="L66" i="3"/>
  <c r="L64" i="3"/>
  <c r="M63" i="3" s="1"/>
  <c r="L62" i="3"/>
  <c r="L60" i="3"/>
  <c r="M59" i="3" s="1"/>
  <c r="L58" i="3"/>
  <c r="L56" i="3"/>
  <c r="M55" i="3" s="1"/>
  <c r="L52" i="3"/>
  <c r="M51" i="3" s="1"/>
  <c r="L50" i="3"/>
  <c r="M49" i="3" s="1"/>
  <c r="L48" i="3"/>
  <c r="M47" i="3" s="1"/>
  <c r="L46" i="3"/>
  <c r="M45" i="3" s="1"/>
  <c r="L44" i="3"/>
  <c r="M43" i="3" s="1"/>
  <c r="L42" i="3"/>
  <c r="M41" i="3" s="1"/>
  <c r="L40" i="3"/>
  <c r="M39" i="3" s="1"/>
  <c r="L38" i="3"/>
  <c r="M37" i="3" s="1"/>
  <c r="L36" i="3"/>
  <c r="M35" i="3" s="1"/>
  <c r="L34" i="3"/>
  <c r="M33" i="3" s="1"/>
  <c r="L32" i="3"/>
  <c r="M31" i="3" s="1"/>
  <c r="L30" i="3"/>
  <c r="M29" i="3" s="1"/>
  <c r="L28" i="3"/>
  <c r="M27" i="3" s="1"/>
  <c r="L26" i="3"/>
  <c r="M25" i="3" s="1"/>
  <c r="L24" i="3"/>
  <c r="M23" i="3" s="1"/>
  <c r="L22" i="3"/>
  <c r="M21" i="3" s="1"/>
  <c r="L20" i="3"/>
  <c r="M19" i="3" s="1"/>
  <c r="L18" i="3"/>
  <c r="M17" i="3" s="1"/>
  <c r="L16" i="3"/>
  <c r="L14" i="3"/>
  <c r="M13" i="3" s="1"/>
  <c r="L12" i="3"/>
  <c r="L8" i="3"/>
  <c r="M7" i="3" s="1"/>
  <c r="L6" i="3"/>
  <c r="L5" i="3"/>
  <c r="E198" i="3"/>
  <c r="E196" i="3"/>
  <c r="E194" i="3"/>
  <c r="E192" i="3"/>
  <c r="E190" i="3"/>
  <c r="E188" i="3"/>
  <c r="E186" i="3"/>
  <c r="E184" i="3"/>
  <c r="E182" i="3"/>
  <c r="E180" i="3"/>
  <c r="E178" i="3"/>
  <c r="E176" i="3"/>
  <c r="E174" i="3"/>
  <c r="E172" i="3"/>
  <c r="E169" i="3"/>
  <c r="E168" i="3"/>
  <c r="E166" i="3"/>
  <c r="E164" i="3"/>
  <c r="E162" i="3"/>
  <c r="E160" i="3"/>
  <c r="E158" i="3"/>
  <c r="E156" i="3"/>
  <c r="E154" i="3"/>
  <c r="E152" i="3"/>
  <c r="E150" i="3"/>
  <c r="E148" i="3"/>
  <c r="E146" i="3"/>
  <c r="E144" i="3"/>
  <c r="E142" i="3"/>
  <c r="E140" i="3"/>
  <c r="E138" i="3"/>
  <c r="E136" i="3"/>
  <c r="E134" i="3"/>
  <c r="E132" i="3"/>
  <c r="E130" i="3"/>
  <c r="E128" i="3"/>
  <c r="E126" i="3"/>
  <c r="E124" i="3"/>
  <c r="E122" i="3"/>
  <c r="E120" i="3"/>
  <c r="E118" i="3"/>
  <c r="E116" i="3"/>
  <c r="E114" i="3"/>
  <c r="E112" i="3"/>
  <c r="E110" i="3"/>
  <c r="E108" i="3"/>
  <c r="E106" i="3"/>
  <c r="E104" i="3"/>
  <c r="E102" i="3"/>
  <c r="E100" i="3"/>
  <c r="E98" i="3"/>
  <c r="E96" i="3"/>
  <c r="E94" i="3"/>
  <c r="E92" i="3"/>
  <c r="E90" i="3"/>
  <c r="E88" i="3"/>
  <c r="E86" i="3"/>
  <c r="E84" i="3"/>
  <c r="E82" i="3"/>
  <c r="E80" i="3"/>
  <c r="E78" i="3"/>
  <c r="E76" i="3"/>
  <c r="E74" i="3"/>
  <c r="E72" i="3"/>
  <c r="E70" i="3"/>
  <c r="E68" i="3"/>
  <c r="E66" i="3"/>
  <c r="E64" i="3"/>
  <c r="E62" i="3"/>
  <c r="E60" i="3"/>
  <c r="E58" i="3"/>
  <c r="E56" i="3"/>
  <c r="E54" i="3"/>
  <c r="E52" i="3"/>
  <c r="E50" i="3"/>
  <c r="E48" i="3"/>
  <c r="E46" i="3"/>
  <c r="E44" i="3"/>
  <c r="E42" i="3"/>
  <c r="E40" i="3"/>
  <c r="E38" i="3"/>
  <c r="E36" i="3"/>
  <c r="E34" i="3"/>
  <c r="E32" i="3"/>
  <c r="E30" i="3"/>
  <c r="E28" i="3"/>
  <c r="E26" i="3"/>
  <c r="E24" i="3"/>
  <c r="E22" i="3"/>
  <c r="E20" i="3"/>
  <c r="E18" i="3"/>
  <c r="E16" i="3"/>
  <c r="E14" i="3"/>
  <c r="E12" i="3"/>
  <c r="E8" i="3"/>
  <c r="E6" i="3"/>
  <c r="E5" i="3"/>
  <c r="M200" i="3" l="1"/>
  <c r="M133" i="3"/>
</calcChain>
</file>

<file path=xl/sharedStrings.xml><?xml version="1.0" encoding="utf-8"?>
<sst xmlns="http://schemas.openxmlformats.org/spreadsheetml/2006/main" count="347" uniqueCount="137">
  <si>
    <t>Nivel</t>
  </si>
  <si>
    <t>Categoría</t>
  </si>
  <si>
    <t>Descripción de puestos</t>
  </si>
  <si>
    <t>No.
Plazas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</si>
  <si>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</si>
  <si>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</si>
  <si>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</si>
  <si>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</si>
  <si>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</si>
  <si>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</si>
  <si>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Estimulos a Servidores Público</t>
  </si>
  <si>
    <t>1100 Remuneraciones al personal de carácter permanente</t>
  </si>
  <si>
    <t>dietas</t>
  </si>
  <si>
    <t>haberes</t>
  </si>
  <si>
    <t>sueldos base al personal permanente</t>
  </si>
  <si>
    <t>remuneraciones por adscripción laboral en el extranjero</t>
  </si>
  <si>
    <t>1200 Remuneraciones al personal de carácter transitorio</t>
  </si>
  <si>
    <t>honorarios asimilables a salarios</t>
  </si>
  <si>
    <t>sueldos base al personal eventual</t>
  </si>
  <si>
    <t>retribuciones por servicios de carácter social</t>
  </si>
  <si>
    <t>retribución a los representantes de los trabajadores y de los patrones en la junta de conciliación y arbitraje</t>
  </si>
  <si>
    <t>1300 Remuneraciones adicionales y especiales</t>
  </si>
  <si>
    <t>primas por años de servicios efectivos prestados</t>
  </si>
  <si>
    <t>primas de vacaciones, dominical y gratificación de fin de año</t>
  </si>
  <si>
    <t>horas extraordinarias</t>
  </si>
  <si>
    <t>compensaciones</t>
  </si>
  <si>
    <t>sobrehaberes</t>
  </si>
  <si>
    <t>asignaciones de técnico, de mando, por comisión, de vuelo y de técnico especial</t>
  </si>
  <si>
    <t>honorarios especiales</t>
  </si>
  <si>
    <t>participaciones por vigilancia en el cumplimiento de las leyes y custodia de valores</t>
  </si>
  <si>
    <t>1400 Seguridad social</t>
  </si>
  <si>
    <t>aportaciones de seguridad social</t>
  </si>
  <si>
    <t>aportaciones a fondos de vivienda</t>
  </si>
  <si>
    <t>aportaciones al sistema para el retiro</t>
  </si>
  <si>
    <t>aportaciones para seguros</t>
  </si>
  <si>
    <t>1500 Otras prestaciones sociales y económicas</t>
  </si>
  <si>
    <t>cuotas para el fondo de ahorro y fondo de trabajo</t>
  </si>
  <si>
    <t>indemnizaciones</t>
  </si>
  <si>
    <t>prestaciones y haberes de retiro</t>
  </si>
  <si>
    <t>prestaciones contractuales</t>
  </si>
  <si>
    <t>apoyos a la capacitación de los servidores públicos</t>
  </si>
  <si>
    <t>otras prestaciones sociales y económicas</t>
  </si>
  <si>
    <t>1600 Previsiones</t>
  </si>
  <si>
    <t>previsiones de carácter laboral, económica y de seguridad social</t>
  </si>
  <si>
    <t>1700 Pago de estímulos a servidores públicos</t>
  </si>
  <si>
    <t>estímulos</t>
  </si>
  <si>
    <t>recompensas</t>
  </si>
  <si>
    <t>DESCRIPCIÓN DE REMUNERACIONES</t>
  </si>
  <si>
    <t>TABULADOR DE SUELDOS Y SALARIOS</t>
  </si>
  <si>
    <t>Total mensual bruto</t>
  </si>
  <si>
    <t>Total anual bruto</t>
  </si>
  <si>
    <r>
      <t xml:space="preserve">Total mensual y anual bruto: </t>
    </r>
    <r>
      <rPr>
        <sz val="10"/>
        <color theme="1"/>
        <rFont val="Tahoma"/>
        <family val="2"/>
      </rPr>
      <t>corresponde a las remuneraciones antes de ISR y otras deducciones de Ley.</t>
    </r>
  </si>
  <si>
    <t>PRESIDENTE MUNICIPAL</t>
  </si>
  <si>
    <t>1A</t>
  </si>
  <si>
    <t>C</t>
  </si>
  <si>
    <t>SINDICO</t>
  </si>
  <si>
    <t>1B</t>
  </si>
  <si>
    <t>JURIDICO</t>
  </si>
  <si>
    <t>2A</t>
  </si>
  <si>
    <t>ASISTENTE SINDICO</t>
  </si>
  <si>
    <t>2B</t>
  </si>
  <si>
    <t>REGIDOR</t>
  </si>
  <si>
    <t>1C</t>
  </si>
  <si>
    <t>SECRETARIO H. AYUNTAMIENTO</t>
  </si>
  <si>
    <t>SECRETARIO PARTICULAR</t>
  </si>
  <si>
    <t>RECEPCIONISTA</t>
  </si>
  <si>
    <t>AUXILIAR ADMINISTRATIVO</t>
  </si>
  <si>
    <t>CARTERO</t>
  </si>
  <si>
    <t>3B</t>
  </si>
  <si>
    <t>MENSAJERO</t>
  </si>
  <si>
    <t>TESORERO</t>
  </si>
  <si>
    <t>CONTADOR</t>
  </si>
  <si>
    <t>1D</t>
  </si>
  <si>
    <t>CAPTURISTA DE DATOS</t>
  </si>
  <si>
    <t>ENCARGADO DE COMERCIO</t>
  </si>
  <si>
    <t>CONTRALOR INTERNO</t>
  </si>
  <si>
    <t>AUTORIDAD INVESTIGADORA</t>
  </si>
  <si>
    <t>AUTORIDAD SUBSTANCIADORA</t>
  </si>
  <si>
    <t>AUTORIDAD RESOLUTORA</t>
  </si>
  <si>
    <t>COORDINADOR</t>
  </si>
  <si>
    <t>SUPERVISOR DE OBRA</t>
  </si>
  <si>
    <t>AUXILIAR INGENIERO CIVIL</t>
  </si>
  <si>
    <t>CHOFER</t>
  </si>
  <si>
    <t>DIRECTOR DE DEPORTES</t>
  </si>
  <si>
    <t>AYUDANTE GENERAL</t>
  </si>
  <si>
    <t>DIRECTOR DE DESARROLLO RURAL</t>
  </si>
  <si>
    <t>TECNICO DE DESARROLLO RURAL</t>
  </si>
  <si>
    <t>AUXILIAR ADMINISTRATIVO A</t>
  </si>
  <si>
    <t>AUXILIAR ADMINISTRATIVO B</t>
  </si>
  <si>
    <t>OFICIAL</t>
  </si>
  <si>
    <t>AUXILIAR TECNICO</t>
  </si>
  <si>
    <t>2C</t>
  </si>
  <si>
    <t>DIRECTOR DE OBRAS</t>
  </si>
  <si>
    <t>MAISTRO ALBAÑIL</t>
  </si>
  <si>
    <t>AYUDANTE DE ALBAÑIL</t>
  </si>
  <si>
    <t>RESPONSABLE DE AGUA POTABLE</t>
  </si>
  <si>
    <t>CHOFER PIPA</t>
  </si>
  <si>
    <t>PLOMERO</t>
  </si>
  <si>
    <t>ENCARGADO DE SERVICIOS PRIMARIOS</t>
  </si>
  <si>
    <t>RECOLECTOR</t>
  </si>
  <si>
    <t>LIMPIEZA</t>
  </si>
  <si>
    <t>3A</t>
  </si>
  <si>
    <t>RESPONSABLE UBR</t>
  </si>
  <si>
    <t>PSICOLOGO</t>
  </si>
  <si>
    <t>TERAPISTA</t>
  </si>
  <si>
    <t>COORDINADOR PERSONAS C/ DISCAP.</t>
  </si>
  <si>
    <t>TRABAJO SOCIAL</t>
  </si>
  <si>
    <t>AUXILIAR ADMINISTRATIVO C</t>
  </si>
  <si>
    <t>AFANADORA</t>
  </si>
  <si>
    <t>RESPONSABLE DE ALIMENTARIOS</t>
  </si>
  <si>
    <t>RESPONSABLE DE CASA DE DIA</t>
  </si>
  <si>
    <t>RESPONSABLE DE ENLACE</t>
  </si>
  <si>
    <t>AUXILIAR CASA DE DIA</t>
  </si>
  <si>
    <t>ENLACE INAPAM</t>
  </si>
  <si>
    <t>ENCARGADO DE ALBERGUE</t>
  </si>
  <si>
    <t>DIRECTOR ALUMBRADO PUBLICO</t>
  </si>
  <si>
    <t>DIRECTOR DE SEGURIDAD PUBLICA</t>
  </si>
  <si>
    <t>JEFE DE GRUPO A</t>
  </si>
  <si>
    <t>JEFE DE GRUPO B</t>
  </si>
  <si>
    <t>POLICIA</t>
  </si>
  <si>
    <t>RESPONSABLE DE BIBLIOTECA</t>
  </si>
  <si>
    <t>BIBLIOTECARIO</t>
  </si>
  <si>
    <t>RESPONSABLE DE ECOLOGIA</t>
  </si>
  <si>
    <t>AYUDANTE GENERAL A</t>
  </si>
  <si>
    <t>AYUDANTE GENERAL B</t>
  </si>
  <si>
    <t>DIRECTOR DE RECURSOS HUMANOS</t>
  </si>
  <si>
    <t>ENCARGADO DE ADMON Y SERVICIOS</t>
  </si>
  <si>
    <t>INSPECTOR</t>
  </si>
  <si>
    <t>RESPONSABLE DE AUDITORIO</t>
  </si>
  <si>
    <t>VELADOR</t>
  </si>
  <si>
    <t>VIGILANTE</t>
  </si>
  <si>
    <t>CHOFER DE ESTUDIANTES</t>
  </si>
  <si>
    <t>RESPONSABLE DE ARCHIVO</t>
  </si>
  <si>
    <t>RESPONSABLE DE TRANSPARENCIA</t>
  </si>
  <si>
    <t>RESPONSABLE DE CULTURA</t>
  </si>
  <si>
    <t>ENCARGADO DE PROTECCION CIVIL</t>
  </si>
  <si>
    <t>PARAMEDICO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</si>
</sst>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7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b/>
      <sz val="11"/>
      <color theme="1"/>
      <name val="Tahoma"/>
      <family val="2"/>
    </font>
    <font>
      <sz val="10"/>
      <color theme="1"/>
      <name val="Tahoma"/>
      <family val="2"/>
    </font>
    <font>
      <b/>
      <sz val="10"/>
      <color theme="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0" xfId="0" applyFont="1" applyAlignment="1">
      <alignment horizontal="justify" vertical="center"/>
    </xf>
    <xf numFmtId="0" fontId="3" fillId="2" borderId="0" xfId="0" applyFont="1" applyFill="1" applyAlignment="1">
      <alignment horizontal="justify" vertical="center"/>
    </xf>
    <xf numFmtId="0" fontId="1" fillId="0" borderId="0" xfId="0" applyFont="1" applyAlignment="1">
      <alignment horizontal="center"/>
    </xf>
    <xf numFmtId="0" fontId="5" fillId="0" borderId="0" xfId="0" applyFont="1"/>
    <xf numFmtId="0" fontId="6" fillId="2" borderId="1" xfId="0" applyFont="1" applyFill="1" applyBorder="1" applyAlignment="1">
      <alignment horizontal="center" vertical="center" wrapText="1"/>
    </xf>
    <xf numFmtId="0" fontId="6" fillId="0" borderId="0" xfId="0" applyFont="1"/>
    <xf numFmtId="0" fontId="5" fillId="0" borderId="0" xfId="0" applyFont="1" applyAlignment="1">
      <alignment horizontal="center"/>
    </xf>
    <xf numFmtId="0" fontId="5" fillId="0" borderId="4" xfId="0" applyFont="1" applyBorder="1" applyAlignment="1">
      <alignment vertical="center" wrapText="1"/>
    </xf>
    <xf numFmtId="0" fontId="5" fillId="0" borderId="6" xfId="0" applyFont="1" applyBorder="1" applyAlignment="1">
      <alignment horizontal="center" vertical="center" wrapText="1"/>
    </xf>
    <xf numFmtId="4" fontId="5" fillId="0" borderId="6" xfId="0" applyNumberFormat="1" applyFont="1" applyBorder="1" applyAlignment="1">
      <alignment horizontal="right" vertical="center" wrapText="1"/>
    </xf>
    <xf numFmtId="4" fontId="5" fillId="0" borderId="6" xfId="0" applyNumberFormat="1" applyFont="1" applyBorder="1" applyAlignment="1">
      <alignment horizontal="center" vertical="center" wrapText="1"/>
    </xf>
    <xf numFmtId="164" fontId="5" fillId="0" borderId="4" xfId="0" applyNumberFormat="1" applyFont="1" applyBorder="1" applyAlignment="1">
      <alignment vertical="center" wrapText="1"/>
    </xf>
    <xf numFmtId="0" fontId="6" fillId="0" borderId="3" xfId="0" applyFont="1" applyBorder="1" applyAlignment="1">
      <alignment vertical="center" wrapText="1"/>
    </xf>
    <xf numFmtId="0" fontId="6" fillId="0" borderId="5" xfId="0" applyFont="1" applyBorder="1" applyAlignment="1">
      <alignment horizontal="center" vertical="center" wrapText="1"/>
    </xf>
    <xf numFmtId="0" fontId="6" fillId="0" borderId="5" xfId="0" applyFont="1" applyBorder="1" applyAlignment="1">
      <alignment vertical="center" wrapText="1"/>
    </xf>
    <xf numFmtId="4" fontId="5" fillId="0" borderId="5" xfId="0" applyNumberFormat="1" applyFont="1" applyBorder="1" applyAlignment="1">
      <alignment horizontal="right" vertical="center" wrapText="1"/>
    </xf>
    <xf numFmtId="0" fontId="5" fillId="0" borderId="6" xfId="0" applyFont="1" applyBorder="1" applyAlignment="1">
      <alignment horizontal="right" vertical="center" wrapText="1"/>
    </xf>
    <xf numFmtId="164" fontId="5" fillId="0" borderId="4" xfId="0" applyNumberFormat="1" applyFont="1" applyBorder="1" applyAlignment="1">
      <alignment vertical="center" wrapText="1"/>
    </xf>
    <xf numFmtId="0" fontId="5" fillId="0" borderId="4" xfId="0" applyFont="1" applyFill="1" applyBorder="1" applyAlignment="1">
      <alignment vertical="center" wrapText="1"/>
    </xf>
    <xf numFmtId="0" fontId="5" fillId="0" borderId="6" xfId="0" applyFont="1" applyFill="1" applyBorder="1" applyAlignment="1">
      <alignment horizontal="center" vertical="center" wrapText="1"/>
    </xf>
    <xf numFmtId="4" fontId="5" fillId="0" borderId="6" xfId="0" applyNumberFormat="1" applyFont="1" applyFill="1" applyBorder="1" applyAlignment="1">
      <alignment horizontal="right" vertical="center" wrapText="1"/>
    </xf>
    <xf numFmtId="0" fontId="5" fillId="0" borderId="6" xfId="0" applyFont="1" applyFill="1" applyBorder="1" applyAlignment="1">
      <alignment horizontal="right" vertical="center" wrapText="1"/>
    </xf>
    <xf numFmtId="4" fontId="5" fillId="0" borderId="6" xfId="0" applyNumberFormat="1" applyFont="1" applyFill="1" applyBorder="1" applyAlignment="1">
      <alignment horizontal="center" vertical="center" wrapText="1"/>
    </xf>
    <xf numFmtId="0" fontId="5" fillId="0" borderId="0" xfId="0" applyFont="1" applyFill="1"/>
    <xf numFmtId="164" fontId="5" fillId="0" borderId="0" xfId="0" applyNumberFormat="1" applyFont="1"/>
    <xf numFmtId="0" fontId="5" fillId="0" borderId="0" xfId="0" applyFont="1" applyBorder="1" applyAlignment="1">
      <alignment vertical="center" wrapText="1"/>
    </xf>
    <xf numFmtId="0" fontId="5" fillId="0" borderId="0" xfId="0" applyFont="1" applyBorder="1" applyAlignment="1">
      <alignment horizontal="center" vertical="center" wrapText="1"/>
    </xf>
    <xf numFmtId="4" fontId="5" fillId="0" borderId="0" xfId="0" applyNumberFormat="1" applyFont="1" applyBorder="1" applyAlignment="1">
      <alignment horizontal="right" vertical="center" wrapText="1"/>
    </xf>
    <xf numFmtId="0" fontId="5" fillId="0" borderId="0" xfId="0" applyFont="1" applyBorder="1" applyAlignment="1">
      <alignment horizontal="right" vertical="center" wrapText="1"/>
    </xf>
    <xf numFmtId="4" fontId="5" fillId="0" borderId="0" xfId="0" applyNumberFormat="1" applyFont="1" applyBorder="1" applyAlignment="1">
      <alignment horizontal="center" vertical="center" wrapText="1"/>
    </xf>
    <xf numFmtId="164" fontId="5" fillId="0" borderId="0" xfId="0" applyNumberFormat="1" applyFont="1" applyBorder="1" applyAlignment="1">
      <alignment vertical="center" wrapText="1"/>
    </xf>
    <xf numFmtId="4" fontId="5" fillId="0" borderId="0" xfId="0" applyNumberFormat="1" applyFont="1"/>
    <xf numFmtId="0" fontId="5" fillId="0" borderId="2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164" fontId="5" fillId="0" borderId="2" xfId="0" applyNumberFormat="1" applyFont="1" applyBorder="1" applyAlignment="1">
      <alignment vertical="center" wrapText="1"/>
    </xf>
    <xf numFmtId="164" fontId="5" fillId="0" borderId="4" xfId="0" applyNumberFormat="1" applyFont="1" applyBorder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vertical="center" wrapText="1"/>
    </xf>
    <xf numFmtId="0" fontId="6" fillId="0" borderId="5" xfId="0" applyFont="1" applyFill="1" applyBorder="1" applyAlignment="1">
      <alignment horizontal="center" vertical="center" wrapText="1"/>
    </xf>
    <xf numFmtId="0" fontId="6" fillId="0" borderId="5" xfId="0" applyFont="1" applyFill="1" applyBorder="1" applyAlignment="1">
      <alignment vertical="center" wrapText="1"/>
    </xf>
    <xf numFmtId="4" fontId="5" fillId="0" borderId="2" xfId="0" applyNumberFormat="1" applyFont="1" applyFill="1" applyBorder="1" applyAlignment="1">
      <alignment horizontal="right" wrapText="1"/>
    </xf>
    <xf numFmtId="0" fontId="5" fillId="0" borderId="4" xfId="0" applyFont="1" applyFill="1" applyBorder="1" applyAlignment="1">
      <alignment vertical="center" wrapText="1"/>
    </xf>
    <xf numFmtId="4" fontId="5" fillId="0" borderId="4" xfId="0" applyNumberFormat="1" applyFont="1" applyFill="1" applyBorder="1" applyAlignment="1">
      <alignment horizontal="right" wrapText="1"/>
    </xf>
    <xf numFmtId="0" fontId="6" fillId="0" borderId="3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1"/>
  <sheetViews>
    <sheetView showGridLines="0" tabSelected="1" topLeftCell="A10" workbookViewId="0">
      <selection activeCell="E28" sqref="E28"/>
    </sheetView>
  </sheetViews>
  <sheetFormatPr baseColWidth="10" defaultRowHeight="12.75" x14ac:dyDescent="0.2"/>
  <cols>
    <col min="1" max="1" width="19" style="4" bestFit="1" customWidth="1"/>
    <col min="2" max="2" width="6" style="4" customWidth="1"/>
    <col min="3" max="3" width="9.5703125" style="4" customWidth="1"/>
    <col min="4" max="4" width="6.5703125" style="4" customWidth="1"/>
    <col min="5" max="5" width="17.42578125" style="4" customWidth="1"/>
    <col min="6" max="6" width="16.5703125" style="4" bestFit="1" customWidth="1"/>
    <col min="7" max="7" width="16.28515625" style="4" customWidth="1"/>
    <col min="8" max="8" width="13.42578125" style="4" bestFit="1" customWidth="1"/>
    <col min="9" max="9" width="15.5703125" style="4" bestFit="1" customWidth="1"/>
    <col min="10" max="10" width="12.28515625" style="4" customWidth="1"/>
    <col min="11" max="11" width="16.42578125" style="4" bestFit="1" customWidth="1"/>
    <col min="12" max="12" width="11.85546875" style="4" customWidth="1"/>
    <col min="13" max="13" width="18.42578125" style="4" customWidth="1"/>
    <col min="14" max="16384" width="11.42578125" style="4"/>
  </cols>
  <sheetData>
    <row r="1" spans="1:13" ht="14.25" x14ac:dyDescent="0.2">
      <c r="A1" s="38" t="s">
        <v>48</v>
      </c>
      <c r="B1" s="38"/>
      <c r="C1" s="38"/>
      <c r="D1" s="38"/>
      <c r="E1" s="38"/>
      <c r="F1" s="38"/>
      <c r="G1" s="38"/>
      <c r="H1" s="38"/>
      <c r="I1" s="38"/>
      <c r="J1" s="38"/>
      <c r="K1" s="38"/>
      <c r="L1" s="38"/>
      <c r="M1" s="38"/>
    </row>
    <row r="3" spans="1:13" x14ac:dyDescent="0.2">
      <c r="A3" s="39" t="s">
        <v>2</v>
      </c>
      <c r="B3" s="40" t="s">
        <v>0</v>
      </c>
      <c r="C3" s="40" t="s">
        <v>1</v>
      </c>
      <c r="D3" s="39" t="s">
        <v>3</v>
      </c>
      <c r="E3" s="37" t="s">
        <v>49</v>
      </c>
      <c r="F3" s="37"/>
      <c r="G3" s="37"/>
      <c r="H3" s="37"/>
      <c r="I3" s="37"/>
      <c r="J3" s="37"/>
      <c r="K3" s="37"/>
      <c r="L3" s="37"/>
      <c r="M3" s="39" t="s">
        <v>50</v>
      </c>
    </row>
    <row r="4" spans="1:13" ht="67.5" customHeight="1" x14ac:dyDescent="0.2">
      <c r="A4" s="39"/>
      <c r="B4" s="40"/>
      <c r="C4" s="40"/>
      <c r="D4" s="39"/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49</v>
      </c>
      <c r="M4" s="39"/>
    </row>
    <row r="5" spans="1:13" ht="26.25" thickBot="1" x14ac:dyDescent="0.25">
      <c r="A5" s="8" t="s">
        <v>52</v>
      </c>
      <c r="B5" s="9" t="s">
        <v>53</v>
      </c>
      <c r="C5" s="9" t="s">
        <v>54</v>
      </c>
      <c r="D5" s="9">
        <v>1</v>
      </c>
      <c r="E5" s="10">
        <f>54000*1.03</f>
        <v>55620</v>
      </c>
      <c r="F5" s="8"/>
      <c r="G5" s="10">
        <f>90000*1.03</f>
        <v>92700</v>
      </c>
      <c r="H5" s="8"/>
      <c r="I5" s="8"/>
      <c r="J5" s="8"/>
      <c r="K5" s="8"/>
      <c r="L5" s="11">
        <f>E5</f>
        <v>55620</v>
      </c>
      <c r="M5" s="12">
        <f>(L5*12)+G5</f>
        <v>760140</v>
      </c>
    </row>
    <row r="6" spans="1:13" ht="13.5" thickBot="1" x14ac:dyDescent="0.25">
      <c r="A6" s="8" t="s">
        <v>55</v>
      </c>
      <c r="B6" s="9" t="s">
        <v>56</v>
      </c>
      <c r="C6" s="9" t="s">
        <v>54</v>
      </c>
      <c r="D6" s="9">
        <v>1</v>
      </c>
      <c r="E6" s="10">
        <f>18999.9*1.03</f>
        <v>19569.897000000001</v>
      </c>
      <c r="F6" s="8"/>
      <c r="G6" s="10">
        <f>31666.5*1.03</f>
        <v>32616.495000000003</v>
      </c>
      <c r="H6" s="8"/>
      <c r="I6" s="8"/>
      <c r="J6" s="8"/>
      <c r="K6" s="8"/>
      <c r="L6" s="11">
        <f t="shared" ref="L6:L68" si="0">E6</f>
        <v>19569.897000000001</v>
      </c>
      <c r="M6" s="18">
        <f>(L6*12)+G6</f>
        <v>267455.25900000002</v>
      </c>
    </row>
    <row r="7" spans="1:13" ht="13.5" thickBot="1" x14ac:dyDescent="0.25">
      <c r="A7" s="13"/>
      <c r="B7" s="14"/>
      <c r="C7" s="14"/>
      <c r="D7" s="15"/>
      <c r="E7" s="15"/>
      <c r="F7" s="33"/>
      <c r="G7" s="15"/>
      <c r="H7" s="33"/>
      <c r="I7" s="16">
        <f>16180.5*1.03</f>
        <v>16665.915000000001</v>
      </c>
      <c r="J7" s="16">
        <f>8090.25*1.03</f>
        <v>8332.9575000000004</v>
      </c>
      <c r="K7" s="33"/>
      <c r="L7" s="11"/>
      <c r="M7" s="35">
        <f>(L8*12)+G8+I7+J7</f>
        <v>268321.23149999999</v>
      </c>
    </row>
    <row r="8" spans="1:13" ht="13.5" thickBot="1" x14ac:dyDescent="0.25">
      <c r="A8" s="8" t="s">
        <v>57</v>
      </c>
      <c r="B8" s="9" t="s">
        <v>58</v>
      </c>
      <c r="C8" s="9" t="s">
        <v>54</v>
      </c>
      <c r="D8" s="9">
        <v>1</v>
      </c>
      <c r="E8" s="10">
        <f>16180.5*1.03</f>
        <v>16665.915000000001</v>
      </c>
      <c r="F8" s="34"/>
      <c r="G8" s="10">
        <f>42069.3*1.03</f>
        <v>43331.379000000001</v>
      </c>
      <c r="H8" s="34"/>
      <c r="I8" s="17"/>
      <c r="J8" s="17"/>
      <c r="K8" s="34"/>
      <c r="L8" s="11">
        <f t="shared" si="0"/>
        <v>16665.915000000001</v>
      </c>
      <c r="M8" s="36"/>
    </row>
    <row r="9" spans="1:13" ht="13.5" thickBot="1" x14ac:dyDescent="0.25">
      <c r="A9" s="13"/>
      <c r="B9" s="14"/>
      <c r="C9" s="14"/>
      <c r="D9" s="15"/>
      <c r="E9" s="15"/>
      <c r="F9" s="33"/>
      <c r="G9" s="15"/>
      <c r="H9" s="33"/>
      <c r="I9" s="16">
        <f>4978.5*1.03</f>
        <v>5127.8550000000005</v>
      </c>
      <c r="J9" s="16">
        <f>2489.25*1.03</f>
        <v>2563.9275000000002</v>
      </c>
      <c r="K9" s="33"/>
      <c r="L9" s="11"/>
      <c r="M9" s="35">
        <f>(L10*12)+G10+I9+J9</f>
        <v>82824.205499999996</v>
      </c>
    </row>
    <row r="10" spans="1:13" ht="13.5" thickBot="1" x14ac:dyDescent="0.25">
      <c r="A10" s="8" t="s">
        <v>59</v>
      </c>
      <c r="B10" s="9" t="s">
        <v>60</v>
      </c>
      <c r="C10" s="9" t="s">
        <v>54</v>
      </c>
      <c r="D10" s="9">
        <v>1</v>
      </c>
      <c r="E10" s="10">
        <f>5000*1.03</f>
        <v>5150</v>
      </c>
      <c r="F10" s="34"/>
      <c r="G10" s="10">
        <f>12944.1*1.03</f>
        <v>13332.423000000001</v>
      </c>
      <c r="H10" s="34"/>
      <c r="I10" s="17"/>
      <c r="J10" s="17"/>
      <c r="K10" s="34"/>
      <c r="L10" s="11">
        <f>E10</f>
        <v>5150</v>
      </c>
      <c r="M10" s="36"/>
    </row>
    <row r="11" spans="1:13" ht="13.5" thickBot="1" x14ac:dyDescent="0.25">
      <c r="A11" s="13"/>
      <c r="B11" s="14"/>
      <c r="C11" s="14"/>
      <c r="D11" s="15"/>
      <c r="E11" s="15"/>
      <c r="F11" s="33"/>
      <c r="G11" s="15"/>
      <c r="H11" s="33"/>
      <c r="I11" s="33"/>
      <c r="J11" s="33"/>
      <c r="K11" s="33"/>
      <c r="L11" s="11"/>
      <c r="M11" s="35">
        <f>(L12*12)+G12</f>
        <v>1494942</v>
      </c>
    </row>
    <row r="12" spans="1:13" ht="13.5" thickBot="1" x14ac:dyDescent="0.25">
      <c r="A12" s="8" t="s">
        <v>61</v>
      </c>
      <c r="B12" s="9" t="s">
        <v>62</v>
      </c>
      <c r="C12" s="9" t="s">
        <v>54</v>
      </c>
      <c r="D12" s="9">
        <v>6</v>
      </c>
      <c r="E12" s="10">
        <f>106200*1.03</f>
        <v>109386</v>
      </c>
      <c r="F12" s="34"/>
      <c r="G12" s="10">
        <f>177000*1.03</f>
        <v>182310</v>
      </c>
      <c r="H12" s="34"/>
      <c r="I12" s="34"/>
      <c r="J12" s="34"/>
      <c r="K12" s="34"/>
      <c r="L12" s="11">
        <f t="shared" si="0"/>
        <v>109386</v>
      </c>
      <c r="M12" s="36"/>
    </row>
    <row r="13" spans="1:13" ht="13.5" thickBot="1" x14ac:dyDescent="0.25">
      <c r="A13" s="33" t="s">
        <v>63</v>
      </c>
      <c r="B13" s="14"/>
      <c r="C13" s="14"/>
      <c r="D13" s="15"/>
      <c r="E13" s="15"/>
      <c r="F13" s="33"/>
      <c r="G13" s="15"/>
      <c r="H13" s="33"/>
      <c r="I13" s="16">
        <f>17451*1.03</f>
        <v>17974.53</v>
      </c>
      <c r="J13" s="16">
        <f>8725.5*1.03</f>
        <v>8987.2649999999994</v>
      </c>
      <c r="K13" s="33"/>
      <c r="L13" s="11"/>
      <c r="M13" s="35">
        <f>(L14*12)+G14+I13+J13</f>
        <v>289389.93299999996</v>
      </c>
    </row>
    <row r="14" spans="1:13" ht="13.5" thickBot="1" x14ac:dyDescent="0.25">
      <c r="A14" s="34"/>
      <c r="B14" s="9" t="s">
        <v>62</v>
      </c>
      <c r="C14" s="9" t="s">
        <v>54</v>
      </c>
      <c r="D14" s="9">
        <v>1</v>
      </c>
      <c r="E14" s="10">
        <f>17451*1.03</f>
        <v>17974.53</v>
      </c>
      <c r="F14" s="34"/>
      <c r="G14" s="10">
        <f>45372.6*1.03</f>
        <v>46733.777999999998</v>
      </c>
      <c r="H14" s="34"/>
      <c r="I14" s="17"/>
      <c r="J14" s="17"/>
      <c r="K14" s="34"/>
      <c r="L14" s="11">
        <f t="shared" si="0"/>
        <v>17974.53</v>
      </c>
      <c r="M14" s="36"/>
    </row>
    <row r="15" spans="1:13" ht="13.5" thickBot="1" x14ac:dyDescent="0.25">
      <c r="A15" s="13"/>
      <c r="B15" s="14"/>
      <c r="C15" s="14"/>
      <c r="D15" s="15"/>
      <c r="E15" s="15"/>
      <c r="F15" s="33"/>
      <c r="G15" s="15"/>
      <c r="H15" s="33"/>
      <c r="I15" s="16">
        <f>7582.5*1.03</f>
        <v>7809.9750000000004</v>
      </c>
      <c r="J15" s="16">
        <f>3791.25*1.03</f>
        <v>3904.9875000000002</v>
      </c>
      <c r="K15" s="33"/>
      <c r="L15" s="11"/>
      <c r="M15" s="35">
        <f>(L16*12)+G16+I15+J15</f>
        <v>125740.59750000002</v>
      </c>
    </row>
    <row r="16" spans="1:13" ht="26.25" thickBot="1" x14ac:dyDescent="0.25">
      <c r="A16" s="8" t="s">
        <v>64</v>
      </c>
      <c r="B16" s="9" t="s">
        <v>58</v>
      </c>
      <c r="C16" s="9" t="s">
        <v>54</v>
      </c>
      <c r="D16" s="9">
        <v>1</v>
      </c>
      <c r="E16" s="10">
        <f>7582.5*1.03</f>
        <v>7809.9750000000004</v>
      </c>
      <c r="F16" s="34"/>
      <c r="G16" s="10">
        <f>19714.5*1.03</f>
        <v>20305.935000000001</v>
      </c>
      <c r="H16" s="34"/>
      <c r="I16" s="17"/>
      <c r="J16" s="17"/>
      <c r="K16" s="34"/>
      <c r="L16" s="11">
        <f t="shared" si="0"/>
        <v>7809.9750000000004</v>
      </c>
      <c r="M16" s="36"/>
    </row>
    <row r="17" spans="1:13" ht="13.5" thickBot="1" x14ac:dyDescent="0.25">
      <c r="A17" s="13"/>
      <c r="B17" s="14"/>
      <c r="C17" s="14"/>
      <c r="D17" s="15"/>
      <c r="E17" s="15"/>
      <c r="F17" s="33"/>
      <c r="G17" s="15"/>
      <c r="H17" s="33"/>
      <c r="I17" s="16">
        <f>5460.6*1.03</f>
        <v>5624.4180000000006</v>
      </c>
      <c r="J17" s="16">
        <f>2730.3*1.03</f>
        <v>2812.2090000000003</v>
      </c>
      <c r="K17" s="33"/>
      <c r="L17" s="11"/>
      <c r="M17" s="35">
        <f>(L18*12)+G18+I17+J17</f>
        <v>90553.12980000001</v>
      </c>
    </row>
    <row r="18" spans="1:13" ht="13.5" thickBot="1" x14ac:dyDescent="0.25">
      <c r="A18" s="8" t="s">
        <v>65</v>
      </c>
      <c r="B18" s="9" t="s">
        <v>60</v>
      </c>
      <c r="C18" s="9" t="s">
        <v>54</v>
      </c>
      <c r="D18" s="9">
        <v>1</v>
      </c>
      <c r="E18" s="10">
        <f>5460.6*1.03</f>
        <v>5624.4180000000006</v>
      </c>
      <c r="F18" s="34"/>
      <c r="G18" s="10">
        <f>14197.56*1.03</f>
        <v>14623.486800000001</v>
      </c>
      <c r="H18" s="34"/>
      <c r="I18" s="17"/>
      <c r="J18" s="17"/>
      <c r="K18" s="34"/>
      <c r="L18" s="11">
        <f t="shared" si="0"/>
        <v>5624.4180000000006</v>
      </c>
      <c r="M18" s="36"/>
    </row>
    <row r="19" spans="1:13" ht="13.5" thickBot="1" x14ac:dyDescent="0.25">
      <c r="A19" s="13"/>
      <c r="B19" s="14"/>
      <c r="C19" s="14"/>
      <c r="D19" s="15"/>
      <c r="E19" s="15"/>
      <c r="F19" s="33"/>
      <c r="G19" s="15"/>
      <c r="H19" s="33"/>
      <c r="I19" s="16">
        <f>10080*1.03</f>
        <v>10382.4</v>
      </c>
      <c r="J19" s="16">
        <f>5040*1.03</f>
        <v>5191.2</v>
      </c>
      <c r="K19" s="33"/>
      <c r="L19" s="11"/>
      <c r="M19" s="35">
        <f>(L20*12)+G20+I19+J19</f>
        <v>164061.69600000003</v>
      </c>
    </row>
    <row r="20" spans="1:13" ht="26.25" thickBot="1" x14ac:dyDescent="0.25">
      <c r="A20" s="8" t="s">
        <v>66</v>
      </c>
      <c r="B20" s="9" t="s">
        <v>60</v>
      </c>
      <c r="C20" s="9" t="s">
        <v>54</v>
      </c>
      <c r="D20" s="9">
        <v>2</v>
      </c>
      <c r="E20" s="10">
        <f>10109.6*1.03</f>
        <v>10412.888000000001</v>
      </c>
      <c r="F20" s="34"/>
      <c r="G20" s="10">
        <f>22848*1.03</f>
        <v>23533.440000000002</v>
      </c>
      <c r="H20" s="34"/>
      <c r="I20" s="17"/>
      <c r="J20" s="17"/>
      <c r="K20" s="34"/>
      <c r="L20" s="11">
        <f t="shared" si="0"/>
        <v>10412.888000000001</v>
      </c>
      <c r="M20" s="36"/>
    </row>
    <row r="21" spans="1:13" ht="13.5" thickBot="1" x14ac:dyDescent="0.25">
      <c r="A21" s="13"/>
      <c r="B21" s="14"/>
      <c r="C21" s="14"/>
      <c r="D21" s="15"/>
      <c r="E21" s="15"/>
      <c r="F21" s="33"/>
      <c r="G21" s="15"/>
      <c r="H21" s="33"/>
      <c r="I21" s="16">
        <f>4251*1.03</f>
        <v>4378.53</v>
      </c>
      <c r="J21" s="16">
        <f>2125.5*1.03</f>
        <v>2189.2649999999999</v>
      </c>
      <c r="K21" s="33"/>
      <c r="L21" s="11"/>
      <c r="M21" s="35">
        <f>(L22*12)+G22+I21+J21</f>
        <v>72113.493000000002</v>
      </c>
    </row>
    <row r="22" spans="1:13" ht="13.5" thickBot="1" x14ac:dyDescent="0.25">
      <c r="A22" s="8" t="s">
        <v>67</v>
      </c>
      <c r="B22" s="9" t="s">
        <v>68</v>
      </c>
      <c r="C22" s="9" t="s">
        <v>54</v>
      </c>
      <c r="D22" s="9">
        <v>1</v>
      </c>
      <c r="E22" s="10">
        <f>4382*1.03</f>
        <v>4513.46</v>
      </c>
      <c r="F22" s="34"/>
      <c r="G22" s="10">
        <f>11052.6*1.03</f>
        <v>11384.178</v>
      </c>
      <c r="H22" s="34"/>
      <c r="I22" s="17"/>
      <c r="J22" s="17"/>
      <c r="K22" s="34"/>
      <c r="L22" s="11">
        <f t="shared" si="0"/>
        <v>4513.46</v>
      </c>
      <c r="M22" s="36"/>
    </row>
    <row r="23" spans="1:13" ht="13.5" thickBot="1" x14ac:dyDescent="0.25">
      <c r="A23" s="13"/>
      <c r="B23" s="14"/>
      <c r="C23" s="14"/>
      <c r="D23" s="15"/>
      <c r="E23" s="15"/>
      <c r="F23" s="33"/>
      <c r="G23" s="15"/>
      <c r="H23" s="33"/>
      <c r="I23" s="16">
        <f>4251*1.03</f>
        <v>4378.53</v>
      </c>
      <c r="J23" s="16">
        <f>2125.5*1.03</f>
        <v>2189.2649999999999</v>
      </c>
      <c r="K23" s="33"/>
      <c r="L23" s="11"/>
      <c r="M23" s="35">
        <f>(L24*12)+G24+I23+J23</f>
        <v>72113.493000000002</v>
      </c>
    </row>
    <row r="24" spans="1:13" ht="13.5" thickBot="1" x14ac:dyDescent="0.25">
      <c r="A24" s="8" t="s">
        <v>69</v>
      </c>
      <c r="B24" s="9" t="s">
        <v>68</v>
      </c>
      <c r="C24" s="9" t="s">
        <v>54</v>
      </c>
      <c r="D24" s="9">
        <v>1</v>
      </c>
      <c r="E24" s="10">
        <f>4382*1.03</f>
        <v>4513.46</v>
      </c>
      <c r="F24" s="34"/>
      <c r="G24" s="10">
        <f>11052.6*1.03</f>
        <v>11384.178</v>
      </c>
      <c r="H24" s="34"/>
      <c r="I24" s="17"/>
      <c r="J24" s="17"/>
      <c r="K24" s="34"/>
      <c r="L24" s="11">
        <f t="shared" si="0"/>
        <v>4513.46</v>
      </c>
      <c r="M24" s="36"/>
    </row>
    <row r="25" spans="1:13" ht="13.5" thickBot="1" x14ac:dyDescent="0.25">
      <c r="A25" s="13"/>
      <c r="B25" s="14"/>
      <c r="C25" s="14"/>
      <c r="D25" s="15"/>
      <c r="E25" s="15"/>
      <c r="F25" s="33"/>
      <c r="G25" s="15"/>
      <c r="H25" s="33"/>
      <c r="I25" s="16">
        <f>17451*1.03</f>
        <v>17974.53</v>
      </c>
      <c r="J25" s="16">
        <f>8725.5*1.03</f>
        <v>8987.2649999999994</v>
      </c>
      <c r="K25" s="33"/>
      <c r="L25" s="11"/>
      <c r="M25" s="35">
        <f>(L26*12)+G26+I25+J25</f>
        <v>289389.93299999996</v>
      </c>
    </row>
    <row r="26" spans="1:13" ht="13.5" thickBot="1" x14ac:dyDescent="0.25">
      <c r="A26" s="8" t="s">
        <v>70</v>
      </c>
      <c r="B26" s="9" t="s">
        <v>62</v>
      </c>
      <c r="C26" s="9" t="s">
        <v>54</v>
      </c>
      <c r="D26" s="9">
        <v>1</v>
      </c>
      <c r="E26" s="10">
        <f>17451*1.03</f>
        <v>17974.53</v>
      </c>
      <c r="F26" s="34"/>
      <c r="G26" s="10">
        <f>45372.6*1.03</f>
        <v>46733.777999999998</v>
      </c>
      <c r="H26" s="34"/>
      <c r="I26" s="17"/>
      <c r="J26" s="17"/>
      <c r="K26" s="34"/>
      <c r="L26" s="11">
        <f t="shared" si="0"/>
        <v>17974.53</v>
      </c>
      <c r="M26" s="36"/>
    </row>
    <row r="27" spans="1:13" ht="13.5" thickBot="1" x14ac:dyDescent="0.25">
      <c r="A27" s="13"/>
      <c r="B27" s="14"/>
      <c r="C27" s="14"/>
      <c r="D27" s="15"/>
      <c r="E27" s="15"/>
      <c r="F27" s="33"/>
      <c r="G27" s="15"/>
      <c r="H27" s="33"/>
      <c r="I27" s="16">
        <f>16180.5*1.03</f>
        <v>16665.915000000001</v>
      </c>
      <c r="J27" s="16">
        <f>8090.25*1.03</f>
        <v>8332.9575000000004</v>
      </c>
      <c r="K27" s="33"/>
      <c r="L27" s="11"/>
      <c r="M27" s="35">
        <f>(L28*12)+G28+I27+J27</f>
        <v>268321.23149999999</v>
      </c>
    </row>
    <row r="28" spans="1:13" ht="13.5" thickBot="1" x14ac:dyDescent="0.25">
      <c r="A28" s="8" t="s">
        <v>71</v>
      </c>
      <c r="B28" s="9" t="s">
        <v>72</v>
      </c>
      <c r="C28" s="9" t="s">
        <v>54</v>
      </c>
      <c r="D28" s="9">
        <v>1</v>
      </c>
      <c r="E28" s="21">
        <f>16180.5*1.03</f>
        <v>16665.915000000001</v>
      </c>
      <c r="F28" s="34"/>
      <c r="G28" s="10">
        <f>42069.3*1.03</f>
        <v>43331.379000000001</v>
      </c>
      <c r="H28" s="34"/>
      <c r="I28" s="17"/>
      <c r="J28" s="17"/>
      <c r="K28" s="34"/>
      <c r="L28" s="11">
        <f t="shared" si="0"/>
        <v>16665.915000000001</v>
      </c>
      <c r="M28" s="36"/>
    </row>
    <row r="29" spans="1:13" ht="13.5" thickBot="1" x14ac:dyDescent="0.25">
      <c r="A29" s="13"/>
      <c r="B29" s="14"/>
      <c r="C29" s="14"/>
      <c r="D29" s="15"/>
      <c r="E29" s="15"/>
      <c r="F29" s="33"/>
      <c r="G29" s="15"/>
      <c r="H29" s="33"/>
      <c r="I29" s="16">
        <f>9906.6*1.03</f>
        <v>10203.798000000001</v>
      </c>
      <c r="J29" s="16">
        <f>4953.3*1.03</f>
        <v>5101.8990000000003</v>
      </c>
      <c r="K29" s="33"/>
      <c r="L29" s="11"/>
      <c r="M29" s="35">
        <f>(L30*12)+G30+I29+J29</f>
        <v>164281.14780000001</v>
      </c>
    </row>
    <row r="30" spans="1:13" ht="26.25" thickBot="1" x14ac:dyDescent="0.25">
      <c r="A30" s="8" t="s">
        <v>73</v>
      </c>
      <c r="B30" s="9" t="s">
        <v>58</v>
      </c>
      <c r="C30" s="9" t="s">
        <v>54</v>
      </c>
      <c r="D30" s="9">
        <v>1</v>
      </c>
      <c r="E30" s="10">
        <f>9906.6*1.03</f>
        <v>10203.798000000001</v>
      </c>
      <c r="F30" s="34"/>
      <c r="G30" s="10">
        <f>25757.16*1.03</f>
        <v>26529.874800000001</v>
      </c>
      <c r="H30" s="34"/>
      <c r="I30" s="17"/>
      <c r="J30" s="17"/>
      <c r="K30" s="34"/>
      <c r="L30" s="11">
        <f t="shared" si="0"/>
        <v>10203.798000000001</v>
      </c>
      <c r="M30" s="36"/>
    </row>
    <row r="31" spans="1:13" ht="13.5" thickBot="1" x14ac:dyDescent="0.25">
      <c r="A31" s="13"/>
      <c r="B31" s="14"/>
      <c r="C31" s="14"/>
      <c r="D31" s="15"/>
      <c r="E31" s="15"/>
      <c r="F31" s="33"/>
      <c r="G31" s="15"/>
      <c r="H31" s="33"/>
      <c r="I31" s="16">
        <f>9957*1.03</f>
        <v>10255.710000000001</v>
      </c>
      <c r="J31" s="16">
        <f>4978.5*1.03</f>
        <v>5127.8550000000005</v>
      </c>
      <c r="K31" s="33"/>
      <c r="L31" s="11"/>
      <c r="M31" s="35">
        <f>(L32*12)+G32+I31+J31</f>
        <v>162229.84100000001</v>
      </c>
    </row>
    <row r="32" spans="1:13" ht="26.25" thickBot="1" x14ac:dyDescent="0.25">
      <c r="A32" s="8" t="s">
        <v>66</v>
      </c>
      <c r="B32" s="9" t="s">
        <v>60</v>
      </c>
      <c r="C32" s="9" t="s">
        <v>54</v>
      </c>
      <c r="D32" s="9">
        <v>2</v>
      </c>
      <c r="E32" s="10">
        <f>10000*1.03</f>
        <v>10300</v>
      </c>
      <c r="F32" s="34"/>
      <c r="G32" s="10">
        <f>22569.2*1.03</f>
        <v>23246.276000000002</v>
      </c>
      <c r="H32" s="34"/>
      <c r="I32" s="17"/>
      <c r="J32" s="17"/>
      <c r="K32" s="34"/>
      <c r="L32" s="11">
        <f t="shared" si="0"/>
        <v>10300</v>
      </c>
      <c r="M32" s="36"/>
    </row>
    <row r="33" spans="1:13" ht="13.5" thickBot="1" x14ac:dyDescent="0.25">
      <c r="A33" s="33" t="s">
        <v>74</v>
      </c>
      <c r="B33" s="14"/>
      <c r="C33" s="14"/>
      <c r="D33" s="15"/>
      <c r="E33" s="15"/>
      <c r="F33" s="33"/>
      <c r="G33" s="15"/>
      <c r="H33" s="33"/>
      <c r="I33" s="16">
        <f>4251*1.03</f>
        <v>4378.53</v>
      </c>
      <c r="J33" s="16">
        <f>2125.5*1.03</f>
        <v>2189.2649999999999</v>
      </c>
      <c r="K33" s="33"/>
      <c r="L33" s="11"/>
      <c r="M33" s="35">
        <f>(L34*12)+G34+I33+J33</f>
        <v>72113.493000000002</v>
      </c>
    </row>
    <row r="34" spans="1:13" ht="13.5" thickBot="1" x14ac:dyDescent="0.25">
      <c r="A34" s="34"/>
      <c r="B34" s="9" t="s">
        <v>68</v>
      </c>
      <c r="C34" s="9" t="s">
        <v>54</v>
      </c>
      <c r="D34" s="9">
        <v>1</v>
      </c>
      <c r="E34" s="10">
        <f>4382*1.03</f>
        <v>4513.46</v>
      </c>
      <c r="F34" s="34"/>
      <c r="G34" s="10">
        <f>11052.6*1.03</f>
        <v>11384.178</v>
      </c>
      <c r="H34" s="34"/>
      <c r="I34" s="17"/>
      <c r="J34" s="17"/>
      <c r="K34" s="34"/>
      <c r="L34" s="11">
        <f t="shared" si="0"/>
        <v>4513.46</v>
      </c>
      <c r="M34" s="36"/>
    </row>
    <row r="35" spans="1:13" ht="13.5" thickBot="1" x14ac:dyDescent="0.25">
      <c r="A35" s="13"/>
      <c r="B35" s="14"/>
      <c r="C35" s="14"/>
      <c r="D35" s="15"/>
      <c r="E35" s="15"/>
      <c r="F35" s="33"/>
      <c r="G35" s="15"/>
      <c r="H35" s="33"/>
      <c r="I35" s="16">
        <f>17451*1.03</f>
        <v>17974.53</v>
      </c>
      <c r="J35" s="16">
        <f>8725.5*1.03</f>
        <v>8987.2649999999994</v>
      </c>
      <c r="K35" s="33"/>
      <c r="L35" s="11"/>
      <c r="M35" s="35">
        <f>(L36*12)+G36+I35+J35</f>
        <v>289389.93299999996</v>
      </c>
    </row>
    <row r="36" spans="1:13" ht="26.25" thickBot="1" x14ac:dyDescent="0.25">
      <c r="A36" s="8" t="s">
        <v>75</v>
      </c>
      <c r="B36" s="9" t="s">
        <v>72</v>
      </c>
      <c r="C36" s="9" t="s">
        <v>54</v>
      </c>
      <c r="D36" s="9">
        <v>1</v>
      </c>
      <c r="E36" s="10">
        <f>17451*1.03</f>
        <v>17974.53</v>
      </c>
      <c r="F36" s="34"/>
      <c r="G36" s="10">
        <f>45372.6*1.03</f>
        <v>46733.777999999998</v>
      </c>
      <c r="H36" s="34"/>
      <c r="I36" s="17"/>
      <c r="J36" s="17"/>
      <c r="K36" s="34"/>
      <c r="L36" s="11">
        <f t="shared" si="0"/>
        <v>17974.53</v>
      </c>
      <c r="M36" s="36"/>
    </row>
    <row r="37" spans="1:13" ht="13.5" thickBot="1" x14ac:dyDescent="0.25">
      <c r="A37" s="33" t="s">
        <v>76</v>
      </c>
      <c r="B37" s="14"/>
      <c r="C37" s="14"/>
      <c r="D37" s="15"/>
      <c r="E37" s="15"/>
      <c r="F37" s="33"/>
      <c r="G37" s="15"/>
      <c r="H37" s="33"/>
      <c r="I37" s="16">
        <f>12364.5*1.03</f>
        <v>12735.434999999999</v>
      </c>
      <c r="J37" s="16">
        <f>6182.25*1.03</f>
        <v>6367.7174999999997</v>
      </c>
      <c r="K37" s="33"/>
      <c r="L37" s="11"/>
      <c r="M37" s="35">
        <f>(L38*12)+G38+I37+J37</f>
        <v>205040.50349999999</v>
      </c>
    </row>
    <row r="38" spans="1:13" ht="13.5" thickBot="1" x14ac:dyDescent="0.25">
      <c r="A38" s="34"/>
      <c r="B38" s="9" t="s">
        <v>58</v>
      </c>
      <c r="C38" s="9" t="s">
        <v>54</v>
      </c>
      <c r="D38" s="9">
        <v>1</v>
      </c>
      <c r="E38" s="10">
        <f>12364.5*1.03</f>
        <v>12735.434999999999</v>
      </c>
      <c r="F38" s="34"/>
      <c r="G38" s="10">
        <f>32147.7*1.03</f>
        <v>33112.131000000001</v>
      </c>
      <c r="H38" s="34"/>
      <c r="I38" s="17"/>
      <c r="J38" s="17"/>
      <c r="K38" s="34"/>
      <c r="L38" s="11">
        <f t="shared" si="0"/>
        <v>12735.434999999999</v>
      </c>
      <c r="M38" s="36"/>
    </row>
    <row r="39" spans="1:13" ht="13.5" thickBot="1" x14ac:dyDescent="0.25">
      <c r="A39" s="41" t="s">
        <v>77</v>
      </c>
      <c r="B39" s="42"/>
      <c r="C39" s="42"/>
      <c r="D39" s="43"/>
      <c r="E39" s="43"/>
      <c r="F39" s="41"/>
      <c r="G39" s="15"/>
      <c r="H39" s="33"/>
      <c r="I39" s="16">
        <f>16180.5*1.03</f>
        <v>16665.915000000001</v>
      </c>
      <c r="J39" s="16">
        <f>8090.25*1.03</f>
        <v>8332.9575000000004</v>
      </c>
      <c r="K39" s="33"/>
      <c r="L39" s="11"/>
      <c r="M39" s="35">
        <f>(L40*12)+G40+I39+J39</f>
        <v>268321.23149999999</v>
      </c>
    </row>
    <row r="40" spans="1:13" ht="13.5" thickBot="1" x14ac:dyDescent="0.25">
      <c r="A40" s="45"/>
      <c r="B40" s="20" t="s">
        <v>72</v>
      </c>
      <c r="C40" s="20" t="s">
        <v>54</v>
      </c>
      <c r="D40" s="20">
        <v>1</v>
      </c>
      <c r="E40" s="21">
        <f>16180.5*1.03</f>
        <v>16665.915000000001</v>
      </c>
      <c r="F40" s="45"/>
      <c r="G40" s="10">
        <f>42069.3*1.03</f>
        <v>43331.379000000001</v>
      </c>
      <c r="H40" s="34"/>
      <c r="I40" s="17"/>
      <c r="J40" s="17"/>
      <c r="K40" s="34"/>
      <c r="L40" s="11">
        <f t="shared" si="0"/>
        <v>16665.915000000001</v>
      </c>
      <c r="M40" s="36"/>
    </row>
    <row r="41" spans="1:13" ht="13.5" thickBot="1" x14ac:dyDescent="0.25">
      <c r="A41" s="47"/>
      <c r="B41" s="42"/>
      <c r="C41" s="42"/>
      <c r="D41" s="43"/>
      <c r="E41" s="43"/>
      <c r="F41" s="41"/>
      <c r="G41" s="15"/>
      <c r="H41" s="33"/>
      <c r="I41" s="16">
        <f>12364.5*1.03</f>
        <v>12735.434999999999</v>
      </c>
      <c r="J41" s="16">
        <f>6182.25*1.03</f>
        <v>6367.7174999999997</v>
      </c>
      <c r="K41" s="33"/>
      <c r="L41" s="11"/>
      <c r="M41" s="35">
        <f>(L42*12)+G42+I41+J41</f>
        <v>205040.50349999999</v>
      </c>
    </row>
    <row r="42" spans="1:13" ht="26.25" thickBot="1" x14ac:dyDescent="0.25">
      <c r="A42" s="19" t="s">
        <v>78</v>
      </c>
      <c r="B42" s="20" t="s">
        <v>58</v>
      </c>
      <c r="C42" s="20" t="s">
        <v>54</v>
      </c>
      <c r="D42" s="20">
        <v>1</v>
      </c>
      <c r="E42" s="21">
        <f>12364.5*1.03</f>
        <v>12735.434999999999</v>
      </c>
      <c r="F42" s="45"/>
      <c r="G42" s="10">
        <f>32147.7*1.03</f>
        <v>33112.131000000001</v>
      </c>
      <c r="H42" s="34"/>
      <c r="I42" s="17"/>
      <c r="J42" s="17"/>
      <c r="K42" s="34"/>
      <c r="L42" s="11">
        <f t="shared" si="0"/>
        <v>12735.434999999999</v>
      </c>
      <c r="M42" s="36"/>
    </row>
    <row r="43" spans="1:13" ht="13.5" thickBot="1" x14ac:dyDescent="0.25">
      <c r="A43" s="47"/>
      <c r="B43" s="42"/>
      <c r="C43" s="42"/>
      <c r="D43" s="43"/>
      <c r="E43" s="43"/>
      <c r="F43" s="41"/>
      <c r="G43" s="15"/>
      <c r="H43" s="33"/>
      <c r="I43" s="16">
        <f>5503.8*1.03</f>
        <v>5668.9140000000007</v>
      </c>
      <c r="J43" s="16">
        <f>2751.9*1.03</f>
        <v>2834.4570000000003</v>
      </c>
      <c r="K43" s="33"/>
      <c r="L43" s="11"/>
      <c r="M43" s="35">
        <f>(L44*12)+G44+I43+J43</f>
        <v>91269.515400000004</v>
      </c>
    </row>
    <row r="44" spans="1:13" ht="26.25" thickBot="1" x14ac:dyDescent="0.25">
      <c r="A44" s="19" t="s">
        <v>66</v>
      </c>
      <c r="B44" s="20" t="s">
        <v>60</v>
      </c>
      <c r="C44" s="20" t="s">
        <v>54</v>
      </c>
      <c r="D44" s="20">
        <v>1</v>
      </c>
      <c r="E44" s="21">
        <f>5503.8*1.03</f>
        <v>5668.9140000000007</v>
      </c>
      <c r="F44" s="45"/>
      <c r="G44" s="10">
        <f>14309.88*1.03</f>
        <v>14739.1764</v>
      </c>
      <c r="H44" s="34"/>
      <c r="I44" s="17"/>
      <c r="J44" s="17"/>
      <c r="K44" s="34"/>
      <c r="L44" s="11">
        <f t="shared" si="0"/>
        <v>5668.9140000000007</v>
      </c>
      <c r="M44" s="36"/>
    </row>
    <row r="45" spans="1:13" ht="13.5" thickBot="1" x14ac:dyDescent="0.25">
      <c r="A45" s="47"/>
      <c r="B45" s="42"/>
      <c r="C45" s="42"/>
      <c r="D45" s="43"/>
      <c r="E45" s="43"/>
      <c r="F45" s="41"/>
      <c r="G45" s="15"/>
      <c r="H45" s="33"/>
      <c r="I45" s="16">
        <f>17451*1.03</f>
        <v>17974.53</v>
      </c>
      <c r="J45" s="16">
        <f>8725.5*1.03</f>
        <v>8987.2649999999994</v>
      </c>
      <c r="K45" s="33"/>
      <c r="L45" s="11"/>
      <c r="M45" s="35">
        <f>(L46*12)+G46+I45+J45</f>
        <v>289389.93299999996</v>
      </c>
    </row>
    <row r="46" spans="1:13" ht="13.5" thickBot="1" x14ac:dyDescent="0.25">
      <c r="A46" s="19" t="s">
        <v>79</v>
      </c>
      <c r="B46" s="20" t="s">
        <v>62</v>
      </c>
      <c r="C46" s="20" t="s">
        <v>54</v>
      </c>
      <c r="D46" s="20">
        <v>1</v>
      </c>
      <c r="E46" s="21">
        <f>17451*1.03</f>
        <v>17974.53</v>
      </c>
      <c r="F46" s="45"/>
      <c r="G46" s="10">
        <f>45372.6*1.03</f>
        <v>46733.777999999998</v>
      </c>
      <c r="H46" s="34"/>
      <c r="I46" s="17"/>
      <c r="J46" s="17"/>
      <c r="K46" s="34"/>
      <c r="L46" s="11">
        <f t="shared" si="0"/>
        <v>17974.53</v>
      </c>
      <c r="M46" s="36"/>
    </row>
    <row r="47" spans="1:13" ht="13.5" thickBot="1" x14ac:dyDescent="0.25">
      <c r="A47" s="47"/>
      <c r="B47" s="42"/>
      <c r="C47" s="42"/>
      <c r="D47" s="43"/>
      <c r="E47" s="43"/>
      <c r="F47" s="41"/>
      <c r="G47" s="15"/>
      <c r="H47" s="33"/>
      <c r="I47" s="16">
        <f>10152*1.03</f>
        <v>10456.56</v>
      </c>
      <c r="J47" s="16">
        <f>5076*1.03</f>
        <v>5228.28</v>
      </c>
      <c r="K47" s="33"/>
      <c r="L47" s="11"/>
      <c r="M47" s="35">
        <f>(L48*12)+G48+I47+J47</f>
        <v>168350.61600000001</v>
      </c>
    </row>
    <row r="48" spans="1:13" ht="26.25" thickBot="1" x14ac:dyDescent="0.25">
      <c r="A48" s="19" t="s">
        <v>80</v>
      </c>
      <c r="B48" s="20" t="s">
        <v>72</v>
      </c>
      <c r="C48" s="20" t="s">
        <v>54</v>
      </c>
      <c r="D48" s="20">
        <v>1</v>
      </c>
      <c r="E48" s="21">
        <f>10152*1.03</f>
        <v>10456.56</v>
      </c>
      <c r="F48" s="45"/>
      <c r="G48" s="10">
        <f>26395.2*1.03</f>
        <v>27187.056</v>
      </c>
      <c r="H48" s="34"/>
      <c r="I48" s="17"/>
      <c r="J48" s="17"/>
      <c r="K48" s="34"/>
      <c r="L48" s="11">
        <f t="shared" si="0"/>
        <v>10456.56</v>
      </c>
      <c r="M48" s="36"/>
    </row>
    <row r="49" spans="1:13" ht="13.5" thickBot="1" x14ac:dyDescent="0.25">
      <c r="A49" s="13"/>
      <c r="B49" s="14"/>
      <c r="C49" s="14"/>
      <c r="D49" s="15"/>
      <c r="E49" s="15"/>
      <c r="F49" s="33"/>
      <c r="G49" s="15"/>
      <c r="H49" s="33"/>
      <c r="I49" s="16">
        <f>10500*1.03</f>
        <v>10815</v>
      </c>
      <c r="J49" s="16">
        <f>5250*1.03</f>
        <v>5407.5</v>
      </c>
      <c r="K49" s="33"/>
      <c r="L49" s="11"/>
      <c r="M49" s="35">
        <f>(L50*12)+G50+I49+J49</f>
        <v>174121.5</v>
      </c>
    </row>
    <row r="50" spans="1:13" ht="26.25" thickBot="1" x14ac:dyDescent="0.25">
      <c r="A50" s="8" t="s">
        <v>81</v>
      </c>
      <c r="B50" s="9" t="s">
        <v>72</v>
      </c>
      <c r="C50" s="9" t="s">
        <v>54</v>
      </c>
      <c r="D50" s="9">
        <v>1</v>
      </c>
      <c r="E50" s="10">
        <f>10500*1.03</f>
        <v>10815</v>
      </c>
      <c r="F50" s="34"/>
      <c r="G50" s="10">
        <f>27300*1.03</f>
        <v>28119</v>
      </c>
      <c r="H50" s="34"/>
      <c r="I50" s="17"/>
      <c r="J50" s="17"/>
      <c r="K50" s="34"/>
      <c r="L50" s="11">
        <f t="shared" si="0"/>
        <v>10815</v>
      </c>
      <c r="M50" s="36"/>
    </row>
    <row r="51" spans="1:13" ht="13.5" thickBot="1" x14ac:dyDescent="0.25">
      <c r="A51" s="13"/>
      <c r="B51" s="14"/>
      <c r="C51" s="14"/>
      <c r="D51" s="15"/>
      <c r="E51" s="15"/>
      <c r="F51" s="33"/>
      <c r="G51" s="15"/>
      <c r="H51" s="33"/>
      <c r="I51" s="16">
        <f>10500*1.03</f>
        <v>10815</v>
      </c>
      <c r="J51" s="16">
        <f>5250*1.03</f>
        <v>5407.5</v>
      </c>
      <c r="K51" s="33"/>
      <c r="L51" s="11"/>
      <c r="M51" s="35">
        <f>(L52*12)+G52+I51+J51</f>
        <v>174121.5</v>
      </c>
    </row>
    <row r="52" spans="1:13" ht="26.25" thickBot="1" x14ac:dyDescent="0.25">
      <c r="A52" s="8" t="s">
        <v>73</v>
      </c>
      <c r="B52" s="9" t="s">
        <v>72</v>
      </c>
      <c r="C52" s="9" t="s">
        <v>54</v>
      </c>
      <c r="D52" s="9">
        <v>1</v>
      </c>
      <c r="E52" s="10">
        <f>10500*1.03</f>
        <v>10815</v>
      </c>
      <c r="F52" s="34"/>
      <c r="G52" s="10">
        <f>27300*1.03</f>
        <v>28119</v>
      </c>
      <c r="H52" s="34"/>
      <c r="I52" s="17"/>
      <c r="J52" s="17"/>
      <c r="K52" s="34"/>
      <c r="L52" s="11">
        <f t="shared" si="0"/>
        <v>10815</v>
      </c>
      <c r="M52" s="36"/>
    </row>
    <row r="53" spans="1:13" ht="13.5" thickBot="1" x14ac:dyDescent="0.25">
      <c r="A53" s="13"/>
      <c r="B53" s="14"/>
      <c r="C53" s="14"/>
      <c r="D53" s="15"/>
      <c r="E53" s="15"/>
      <c r="F53" s="33"/>
      <c r="G53" s="15"/>
      <c r="H53" s="33"/>
      <c r="I53" s="16">
        <f>8502*1.03</f>
        <v>8757.06</v>
      </c>
      <c r="J53" s="16">
        <f>4251*1.03</f>
        <v>4378.53</v>
      </c>
      <c r="K53" s="33"/>
      <c r="L53" s="11"/>
      <c r="M53" s="35">
        <f>(L54*12)+G54+I53+J53</f>
        <v>141307.96600000001</v>
      </c>
    </row>
    <row r="54" spans="1:13" ht="26.25" thickBot="1" x14ac:dyDescent="0.25">
      <c r="A54" s="8" t="s">
        <v>66</v>
      </c>
      <c r="B54" s="9" t="s">
        <v>68</v>
      </c>
      <c r="C54" s="9" t="s">
        <v>54</v>
      </c>
      <c r="D54" s="9">
        <v>2</v>
      </c>
      <c r="E54" s="10">
        <f>8764*1.03</f>
        <v>9026.92</v>
      </c>
      <c r="F54" s="34"/>
      <c r="G54" s="10">
        <f>19271.2*1.03</f>
        <v>19849.336000000003</v>
      </c>
      <c r="H54" s="34"/>
      <c r="I54" s="17"/>
      <c r="J54" s="17"/>
      <c r="K54" s="34"/>
      <c r="L54" s="11">
        <f t="shared" si="0"/>
        <v>9026.92</v>
      </c>
      <c r="M54" s="36"/>
    </row>
    <row r="55" spans="1:13" ht="13.5" thickBot="1" x14ac:dyDescent="0.25">
      <c r="A55" s="13"/>
      <c r="B55" s="14"/>
      <c r="C55" s="14"/>
      <c r="D55" s="15"/>
      <c r="E55" s="15"/>
      <c r="F55" s="33"/>
      <c r="G55" s="15"/>
      <c r="H55" s="33"/>
      <c r="I55" s="16">
        <f>4978.5*1.03</f>
        <v>5127.8550000000005</v>
      </c>
      <c r="J55" s="16">
        <f>2489.25*1.03</f>
        <v>2563.9275000000002</v>
      </c>
      <c r="K55" s="33"/>
      <c r="L55" s="11"/>
      <c r="M55" s="35">
        <f>(L56*12)+G56+I55+J55</f>
        <v>82824.205499999996</v>
      </c>
    </row>
    <row r="56" spans="1:13" ht="13.5" thickBot="1" x14ac:dyDescent="0.25">
      <c r="A56" s="8" t="s">
        <v>82</v>
      </c>
      <c r="B56" s="9" t="s">
        <v>60</v>
      </c>
      <c r="C56" s="9" t="s">
        <v>54</v>
      </c>
      <c r="D56" s="9">
        <v>1</v>
      </c>
      <c r="E56" s="10">
        <f>5000*1.03</f>
        <v>5150</v>
      </c>
      <c r="F56" s="34"/>
      <c r="G56" s="10">
        <f>12944.1*1.03</f>
        <v>13332.423000000001</v>
      </c>
      <c r="H56" s="34"/>
      <c r="I56" s="17"/>
      <c r="J56" s="17"/>
      <c r="K56" s="34"/>
      <c r="L56" s="11">
        <f t="shared" si="0"/>
        <v>5150</v>
      </c>
      <c r="M56" s="36"/>
    </row>
    <row r="57" spans="1:13" ht="13.5" thickBot="1" x14ac:dyDescent="0.25">
      <c r="A57" s="13"/>
      <c r="B57" s="14"/>
      <c r="C57" s="14"/>
      <c r="D57" s="15"/>
      <c r="E57" s="15"/>
      <c r="F57" s="33"/>
      <c r="G57" s="15"/>
      <c r="H57" s="33"/>
      <c r="I57" s="16">
        <f>6628.5*1.03</f>
        <v>6827.3550000000005</v>
      </c>
      <c r="J57" s="16">
        <f>3314.25*1.03</f>
        <v>3413.6775000000002</v>
      </c>
      <c r="K57" s="33"/>
      <c r="L57" s="11"/>
      <c r="M57" s="35">
        <f>(L58*12)+G58+I57+J57</f>
        <v>109920.4155</v>
      </c>
    </row>
    <row r="58" spans="1:13" ht="26.25" thickBot="1" x14ac:dyDescent="0.25">
      <c r="A58" s="8" t="s">
        <v>83</v>
      </c>
      <c r="B58" s="9" t="s">
        <v>58</v>
      </c>
      <c r="C58" s="9" t="s">
        <v>54</v>
      </c>
      <c r="D58" s="9">
        <v>1</v>
      </c>
      <c r="E58" s="10">
        <f>6628.5*1.03</f>
        <v>6827.3550000000005</v>
      </c>
      <c r="F58" s="34"/>
      <c r="G58" s="10">
        <f>17234.1*1.03</f>
        <v>17751.123</v>
      </c>
      <c r="H58" s="34"/>
      <c r="I58" s="17"/>
      <c r="J58" s="17"/>
      <c r="K58" s="34"/>
      <c r="L58" s="11">
        <f t="shared" si="0"/>
        <v>6827.3550000000005</v>
      </c>
      <c r="M58" s="36"/>
    </row>
    <row r="59" spans="1:13" ht="13.5" thickBot="1" x14ac:dyDescent="0.25">
      <c r="A59" s="13"/>
      <c r="B59" s="14"/>
      <c r="C59" s="14"/>
      <c r="D59" s="15"/>
      <c r="E59" s="15"/>
      <c r="F59" s="33"/>
      <c r="G59" s="15"/>
      <c r="H59" s="33"/>
      <c r="I59" s="16">
        <f>4251*1.03</f>
        <v>4378.53</v>
      </c>
      <c r="J59" s="16">
        <f>2125.5*1.03</f>
        <v>2189.2649999999999</v>
      </c>
      <c r="K59" s="33"/>
      <c r="L59" s="11"/>
      <c r="M59" s="35">
        <f>(L60*12)+G60+I59+J59</f>
        <v>72113.493000000002</v>
      </c>
    </row>
    <row r="60" spans="1:13" ht="13.5" thickBot="1" x14ac:dyDescent="0.25">
      <c r="A60" s="8" t="s">
        <v>84</v>
      </c>
      <c r="B60" s="9" t="s">
        <v>68</v>
      </c>
      <c r="C60" s="9" t="s">
        <v>54</v>
      </c>
      <c r="D60" s="9">
        <v>1</v>
      </c>
      <c r="E60" s="10">
        <f>4382*1.03</f>
        <v>4513.46</v>
      </c>
      <c r="F60" s="34"/>
      <c r="G60" s="10">
        <f>11052.6*1.03</f>
        <v>11384.178</v>
      </c>
      <c r="H60" s="34"/>
      <c r="I60" s="17"/>
      <c r="J60" s="17"/>
      <c r="K60" s="34"/>
      <c r="L60" s="11">
        <f t="shared" si="0"/>
        <v>4513.46</v>
      </c>
      <c r="M60" s="36"/>
    </row>
    <row r="61" spans="1:13" ht="13.5" thickBot="1" x14ac:dyDescent="0.25">
      <c r="A61" s="33" t="s">
        <v>85</v>
      </c>
      <c r="B61" s="14"/>
      <c r="C61" s="14"/>
      <c r="D61" s="15"/>
      <c r="E61" s="15"/>
      <c r="F61" s="33"/>
      <c r="G61" s="15"/>
      <c r="H61" s="33"/>
      <c r="I61" s="16">
        <f>11126.1*1.03</f>
        <v>11459.883</v>
      </c>
      <c r="J61" s="16">
        <f>5563.5*1.03</f>
        <v>5730.4049999999997</v>
      </c>
      <c r="K61" s="33"/>
      <c r="L61" s="11"/>
      <c r="M61" s="35">
        <f>(L62*12)+G62+I61+J61</f>
        <v>184504.57980000001</v>
      </c>
    </row>
    <row r="62" spans="1:13" ht="13.5" thickBot="1" x14ac:dyDescent="0.25">
      <c r="A62" s="34"/>
      <c r="B62" s="9" t="s">
        <v>72</v>
      </c>
      <c r="C62" s="9" t="s">
        <v>54</v>
      </c>
      <c r="D62" s="9">
        <v>1</v>
      </c>
      <c r="E62" s="10">
        <f>11126.1*1.03</f>
        <v>11459.883</v>
      </c>
      <c r="F62" s="34"/>
      <c r="G62" s="10">
        <f>28927.86*1.03</f>
        <v>29795.695800000001</v>
      </c>
      <c r="H62" s="34"/>
      <c r="I62" s="17"/>
      <c r="J62" s="17"/>
      <c r="K62" s="34"/>
      <c r="L62" s="11">
        <f t="shared" si="0"/>
        <v>11459.883</v>
      </c>
      <c r="M62" s="36"/>
    </row>
    <row r="63" spans="1:13" ht="13.5" thickBot="1" x14ac:dyDescent="0.25">
      <c r="A63" s="33" t="s">
        <v>86</v>
      </c>
      <c r="B63" s="14"/>
      <c r="C63" s="14"/>
      <c r="D63" s="15"/>
      <c r="E63" s="15"/>
      <c r="F63" s="33"/>
      <c r="G63" s="15"/>
      <c r="H63" s="33"/>
      <c r="I63" s="16">
        <f>6628.5*1.03</f>
        <v>6827.3550000000005</v>
      </c>
      <c r="J63" s="16">
        <f>3314.25*1.03</f>
        <v>3413.6775000000002</v>
      </c>
      <c r="K63" s="33"/>
      <c r="L63" s="11"/>
      <c r="M63" s="35">
        <f>(L64*12)+G64+I63+J63</f>
        <v>109920.4155</v>
      </c>
    </row>
    <row r="64" spans="1:13" ht="13.5" thickBot="1" x14ac:dyDescent="0.25">
      <c r="A64" s="34"/>
      <c r="B64" s="9" t="s">
        <v>58</v>
      </c>
      <c r="C64" s="9" t="s">
        <v>54</v>
      </c>
      <c r="D64" s="9">
        <v>1</v>
      </c>
      <c r="E64" s="10">
        <f>6628.5*1.03</f>
        <v>6827.3550000000005</v>
      </c>
      <c r="F64" s="34"/>
      <c r="G64" s="10">
        <f>17234.1*1.03</f>
        <v>17751.123</v>
      </c>
      <c r="H64" s="34"/>
      <c r="I64" s="17"/>
      <c r="J64" s="17"/>
      <c r="K64" s="34"/>
      <c r="L64" s="11">
        <f t="shared" si="0"/>
        <v>6827.3550000000005</v>
      </c>
      <c r="M64" s="36"/>
    </row>
    <row r="65" spans="1:13" ht="13.5" thickBot="1" x14ac:dyDescent="0.25">
      <c r="A65" s="33" t="s">
        <v>87</v>
      </c>
      <c r="B65" s="14"/>
      <c r="C65" s="14"/>
      <c r="D65" s="15"/>
      <c r="E65" s="15"/>
      <c r="F65" s="33"/>
      <c r="G65" s="15"/>
      <c r="H65" s="33"/>
      <c r="I65" s="16">
        <f>6180*1.03</f>
        <v>6365.4000000000005</v>
      </c>
      <c r="J65" s="16">
        <f>3090*1.03</f>
        <v>3182.7000000000003</v>
      </c>
      <c r="K65" s="33"/>
      <c r="L65" s="11"/>
      <c r="M65" s="35">
        <f>(L66*12)+G66+I65+J65</f>
        <v>102482.93999999999</v>
      </c>
    </row>
    <row r="66" spans="1:13" ht="13.5" thickBot="1" x14ac:dyDescent="0.25">
      <c r="A66" s="34"/>
      <c r="B66" s="9" t="s">
        <v>60</v>
      </c>
      <c r="C66" s="9" t="s">
        <v>54</v>
      </c>
      <c r="D66" s="9">
        <v>1</v>
      </c>
      <c r="E66" s="10">
        <f>6180*1.03</f>
        <v>6365.4000000000005</v>
      </c>
      <c r="F66" s="34"/>
      <c r="G66" s="10">
        <f>16068*1.03</f>
        <v>16550.04</v>
      </c>
      <c r="H66" s="34"/>
      <c r="I66" s="17"/>
      <c r="J66" s="17"/>
      <c r="K66" s="34"/>
      <c r="L66" s="11">
        <f t="shared" si="0"/>
        <v>6365.4000000000005</v>
      </c>
      <c r="M66" s="36"/>
    </row>
    <row r="67" spans="1:13" ht="13.5" thickBot="1" x14ac:dyDescent="0.25">
      <c r="A67" s="33" t="s">
        <v>88</v>
      </c>
      <c r="B67" s="14"/>
      <c r="C67" s="14"/>
      <c r="D67" s="15"/>
      <c r="E67" s="15"/>
      <c r="F67" s="33"/>
      <c r="G67" s="15"/>
      <c r="H67" s="33"/>
      <c r="I67" s="16">
        <f>5460.6*1.03</f>
        <v>5624.4180000000006</v>
      </c>
      <c r="J67" s="16">
        <f>2730.3*1.03</f>
        <v>2812.2090000000003</v>
      </c>
      <c r="K67" s="33"/>
      <c r="L67" s="11"/>
      <c r="M67" s="35">
        <f>(L68*12)+G68+I67+J67</f>
        <v>90553.12980000001</v>
      </c>
    </row>
    <row r="68" spans="1:13" ht="13.5" thickBot="1" x14ac:dyDescent="0.25">
      <c r="A68" s="34"/>
      <c r="B68" s="9" t="s">
        <v>60</v>
      </c>
      <c r="C68" s="9" t="s">
        <v>54</v>
      </c>
      <c r="D68" s="9">
        <v>1</v>
      </c>
      <c r="E68" s="10">
        <f>5460.6*1.03</f>
        <v>5624.4180000000006</v>
      </c>
      <c r="F68" s="34"/>
      <c r="G68" s="10">
        <f>14197.56*1.03</f>
        <v>14623.486800000001</v>
      </c>
      <c r="H68" s="34"/>
      <c r="I68" s="17"/>
      <c r="J68" s="17"/>
      <c r="K68" s="34"/>
      <c r="L68" s="11">
        <f t="shared" si="0"/>
        <v>5624.4180000000006</v>
      </c>
      <c r="M68" s="36"/>
    </row>
    <row r="69" spans="1:13" ht="13.5" thickBot="1" x14ac:dyDescent="0.25">
      <c r="A69" s="13"/>
      <c r="B69" s="14"/>
      <c r="C69" s="14"/>
      <c r="D69" s="15"/>
      <c r="E69" s="15"/>
      <c r="F69" s="33"/>
      <c r="G69" s="15"/>
      <c r="H69" s="33"/>
      <c r="I69" s="16">
        <f>8255.4*1.03</f>
        <v>8503.0619999999999</v>
      </c>
      <c r="J69" s="16">
        <f>4127.7*1.03</f>
        <v>4251.5309999999999</v>
      </c>
      <c r="K69" s="33"/>
      <c r="L69" s="11"/>
      <c r="M69" s="35">
        <f>(L70*12)+G70+I69+J69</f>
        <v>136899.29819999999</v>
      </c>
    </row>
    <row r="70" spans="1:13" ht="13.5" thickBot="1" x14ac:dyDescent="0.25">
      <c r="A70" s="8" t="s">
        <v>89</v>
      </c>
      <c r="B70" s="9" t="s">
        <v>58</v>
      </c>
      <c r="C70" s="9" t="s">
        <v>54</v>
      </c>
      <c r="D70" s="9">
        <v>1</v>
      </c>
      <c r="E70" s="10">
        <f>8255.4*1.03</f>
        <v>8503.0619999999999</v>
      </c>
      <c r="F70" s="34"/>
      <c r="G70" s="10">
        <f>21464.04*1.03</f>
        <v>22107.961200000002</v>
      </c>
      <c r="H70" s="34"/>
      <c r="I70" s="17"/>
      <c r="J70" s="17"/>
      <c r="K70" s="34"/>
      <c r="L70" s="11">
        <f t="shared" ref="L70:L132" si="1">E70</f>
        <v>8503.0619999999999</v>
      </c>
      <c r="M70" s="36"/>
    </row>
    <row r="71" spans="1:13" ht="13.5" thickBot="1" x14ac:dyDescent="0.25">
      <c r="A71" s="13"/>
      <c r="B71" s="14"/>
      <c r="C71" s="14"/>
      <c r="D71" s="15"/>
      <c r="E71" s="15"/>
      <c r="F71" s="33"/>
      <c r="G71" s="15"/>
      <c r="H71" s="33"/>
      <c r="I71" s="16">
        <f>4251*1.03</f>
        <v>4378.53</v>
      </c>
      <c r="J71" s="16">
        <f>2125.5*1.03</f>
        <v>2189.2649999999999</v>
      </c>
      <c r="K71" s="33"/>
      <c r="L71" s="11"/>
      <c r="M71" s="35">
        <f>(L72*12)+G72+I71+J71</f>
        <v>72113.493000000002</v>
      </c>
    </row>
    <row r="72" spans="1:13" ht="26.25" thickBot="1" x14ac:dyDescent="0.25">
      <c r="A72" s="8" t="s">
        <v>66</v>
      </c>
      <c r="B72" s="9" t="s">
        <v>60</v>
      </c>
      <c r="C72" s="9" t="s">
        <v>54</v>
      </c>
      <c r="D72" s="9">
        <v>1</v>
      </c>
      <c r="E72" s="10">
        <f>4382*1.03</f>
        <v>4513.46</v>
      </c>
      <c r="F72" s="34"/>
      <c r="G72" s="10">
        <f>11052.6*1.03</f>
        <v>11384.178</v>
      </c>
      <c r="H72" s="34"/>
      <c r="I72" s="17"/>
      <c r="J72" s="17"/>
      <c r="K72" s="34"/>
      <c r="L72" s="11">
        <f t="shared" si="1"/>
        <v>4513.46</v>
      </c>
      <c r="M72" s="36"/>
    </row>
    <row r="73" spans="1:13" ht="13.5" thickBot="1" x14ac:dyDescent="0.25">
      <c r="A73" s="13"/>
      <c r="B73" s="14"/>
      <c r="C73" s="14"/>
      <c r="D73" s="15"/>
      <c r="E73" s="15"/>
      <c r="F73" s="33"/>
      <c r="G73" s="15"/>
      <c r="H73" s="33"/>
      <c r="I73" s="16">
        <f>11007.6*1.03</f>
        <v>11337.828000000001</v>
      </c>
      <c r="J73" s="16">
        <f>5503.8*1.03</f>
        <v>5668.9140000000007</v>
      </c>
      <c r="K73" s="33"/>
      <c r="L73" s="11"/>
      <c r="M73" s="35">
        <f>(L74*12)+G74+I73+J73</f>
        <v>169796.28279999999</v>
      </c>
    </row>
    <row r="74" spans="1:13" ht="13.5" thickBot="1" x14ac:dyDescent="0.25">
      <c r="A74" s="8" t="s">
        <v>90</v>
      </c>
      <c r="B74" s="9" t="s">
        <v>91</v>
      </c>
      <c r="C74" s="9" t="s">
        <v>54</v>
      </c>
      <c r="D74" s="9">
        <v>2</v>
      </c>
      <c r="E74" s="10">
        <f>10282.4*1.03</f>
        <v>10590.871999999999</v>
      </c>
      <c r="F74" s="34"/>
      <c r="G74" s="10">
        <f>24950.56*1.03</f>
        <v>25699.076800000003</v>
      </c>
      <c r="H74" s="34"/>
      <c r="I74" s="17"/>
      <c r="J74" s="17"/>
      <c r="K74" s="34"/>
      <c r="L74" s="11">
        <f t="shared" si="1"/>
        <v>10590.871999999999</v>
      </c>
      <c r="M74" s="36"/>
    </row>
    <row r="75" spans="1:13" ht="13.5" thickBot="1" x14ac:dyDescent="0.25">
      <c r="A75" s="13"/>
      <c r="B75" s="14"/>
      <c r="C75" s="14"/>
      <c r="D75" s="15"/>
      <c r="E75" s="15"/>
      <c r="F75" s="33"/>
      <c r="G75" s="15"/>
      <c r="H75" s="33"/>
      <c r="I75" s="16">
        <f>9054*1.03</f>
        <v>9325.6200000000008</v>
      </c>
      <c r="J75" s="16">
        <f>4527*1.03</f>
        <v>4662.8100000000004</v>
      </c>
      <c r="K75" s="33"/>
      <c r="L75" s="11"/>
      <c r="M75" s="35">
        <f>(L76*12)+G76+I75+J75</f>
        <v>150142.48199999999</v>
      </c>
    </row>
    <row r="76" spans="1:13" ht="13.5" thickBot="1" x14ac:dyDescent="0.25">
      <c r="A76" s="8" t="s">
        <v>92</v>
      </c>
      <c r="B76" s="9" t="s">
        <v>72</v>
      </c>
      <c r="C76" s="9" t="s">
        <v>54</v>
      </c>
      <c r="D76" s="9">
        <v>1</v>
      </c>
      <c r="E76" s="10">
        <f>9054*1.03</f>
        <v>9325.6200000000008</v>
      </c>
      <c r="F76" s="34"/>
      <c r="G76" s="10">
        <f>23540.4*1.03</f>
        <v>24246.612000000001</v>
      </c>
      <c r="H76" s="34"/>
      <c r="I76" s="17"/>
      <c r="J76" s="17"/>
      <c r="K76" s="34"/>
      <c r="L76" s="11">
        <f t="shared" si="1"/>
        <v>9325.6200000000008</v>
      </c>
      <c r="M76" s="36"/>
    </row>
    <row r="77" spans="1:13" ht="13.5" thickBot="1" x14ac:dyDescent="0.25">
      <c r="A77" s="13"/>
      <c r="B77" s="14"/>
      <c r="C77" s="14"/>
      <c r="D77" s="15"/>
      <c r="E77" s="15"/>
      <c r="F77" s="33"/>
      <c r="G77" s="15"/>
      <c r="H77" s="33"/>
      <c r="I77" s="16">
        <f>13257*1.03</f>
        <v>13654.710000000001</v>
      </c>
      <c r="J77" s="16">
        <f>6628.5*1.03</f>
        <v>6827.3550000000005</v>
      </c>
      <c r="K77" s="33"/>
      <c r="L77" s="11"/>
      <c r="M77" s="35">
        <f>(L78*12)+G78+I77+J77</f>
        <v>215289.26100000003</v>
      </c>
    </row>
    <row r="78" spans="1:13" ht="13.5" thickBot="1" x14ac:dyDescent="0.25">
      <c r="A78" s="8" t="s">
        <v>93</v>
      </c>
      <c r="B78" s="9" t="s">
        <v>58</v>
      </c>
      <c r="C78" s="9" t="s">
        <v>54</v>
      </c>
      <c r="D78" s="9">
        <v>2</v>
      </c>
      <c r="E78" s="10">
        <f>13257*1.03</f>
        <v>13654.710000000001</v>
      </c>
      <c r="F78" s="34"/>
      <c r="G78" s="10">
        <f>30049.2*1.03</f>
        <v>30950.676000000003</v>
      </c>
      <c r="H78" s="34"/>
      <c r="I78" s="17"/>
      <c r="J78" s="17"/>
      <c r="K78" s="34"/>
      <c r="L78" s="11">
        <f t="shared" si="1"/>
        <v>13654.710000000001</v>
      </c>
      <c r="M78" s="36"/>
    </row>
    <row r="79" spans="1:13" ht="13.5" thickBot="1" x14ac:dyDescent="0.25">
      <c r="A79" s="13"/>
      <c r="B79" s="14"/>
      <c r="C79" s="14"/>
      <c r="D79" s="15"/>
      <c r="E79" s="15"/>
      <c r="F79" s="33"/>
      <c r="G79" s="15"/>
      <c r="H79" s="33"/>
      <c r="I79" s="16">
        <f>25005*1.03</f>
        <v>25755.15</v>
      </c>
      <c r="J79" s="16">
        <f>12502.5*1.03</f>
        <v>12877.575000000001</v>
      </c>
      <c r="K79" s="33"/>
      <c r="L79" s="11"/>
      <c r="M79" s="35">
        <f>(L80*12)+G80+I79+J79</f>
        <v>402096.03500000003</v>
      </c>
    </row>
    <row r="80" spans="1:13" ht="26.25" thickBot="1" x14ac:dyDescent="0.25">
      <c r="A80" s="8" t="s">
        <v>94</v>
      </c>
      <c r="B80" s="9" t="s">
        <v>60</v>
      </c>
      <c r="C80" s="9" t="s">
        <v>54</v>
      </c>
      <c r="D80" s="9">
        <v>5</v>
      </c>
      <c r="E80" s="10">
        <f>25100*1.03</f>
        <v>25853</v>
      </c>
      <c r="F80" s="34"/>
      <c r="G80" s="10">
        <f>51677*1.03</f>
        <v>53227.310000000005</v>
      </c>
      <c r="H80" s="34"/>
      <c r="I80" s="17"/>
      <c r="J80" s="17"/>
      <c r="K80" s="34"/>
      <c r="L80" s="11">
        <f t="shared" si="1"/>
        <v>25853</v>
      </c>
      <c r="M80" s="36"/>
    </row>
    <row r="81" spans="1:13" ht="13.5" thickBot="1" x14ac:dyDescent="0.25">
      <c r="A81" s="13"/>
      <c r="B81" s="14"/>
      <c r="C81" s="14"/>
      <c r="D81" s="15"/>
      <c r="E81" s="15"/>
      <c r="F81" s="33"/>
      <c r="G81" s="15"/>
      <c r="H81" s="33"/>
      <c r="I81" s="16">
        <f>17004*1.03</f>
        <v>17514.12</v>
      </c>
      <c r="J81" s="16">
        <f>8502*1.03</f>
        <v>8757.06</v>
      </c>
      <c r="K81" s="33"/>
      <c r="L81" s="11"/>
      <c r="M81" s="35">
        <f>(L82*12)+G82+I81+J81</f>
        <v>279696.91200000001</v>
      </c>
    </row>
    <row r="82" spans="1:13" ht="13.5" thickBot="1" x14ac:dyDescent="0.25">
      <c r="A82" s="8" t="s">
        <v>84</v>
      </c>
      <c r="B82" s="9" t="s">
        <v>91</v>
      </c>
      <c r="C82" s="9" t="s">
        <v>54</v>
      </c>
      <c r="D82" s="9">
        <v>4</v>
      </c>
      <c r="E82" s="10">
        <f>17528*1.03</f>
        <v>18053.84</v>
      </c>
      <c r="F82" s="34"/>
      <c r="G82" s="10">
        <f>35708.4*1.03</f>
        <v>36779.652000000002</v>
      </c>
      <c r="H82" s="34"/>
      <c r="I82" s="17"/>
      <c r="J82" s="17"/>
      <c r="K82" s="34"/>
      <c r="L82" s="11">
        <f t="shared" si="1"/>
        <v>18053.84</v>
      </c>
      <c r="M82" s="36"/>
    </row>
    <row r="83" spans="1:13" ht="13.5" thickBot="1" x14ac:dyDescent="0.25">
      <c r="A83" s="33" t="s">
        <v>95</v>
      </c>
      <c r="B83" s="14"/>
      <c r="C83" s="14"/>
      <c r="D83" s="15"/>
      <c r="E83" s="15"/>
      <c r="F83" s="33"/>
      <c r="G83" s="15"/>
      <c r="H83" s="33"/>
      <c r="I83" s="16">
        <f>5685*1.03</f>
        <v>5855.55</v>
      </c>
      <c r="J83" s="16">
        <f>2842.5*1.03</f>
        <v>2927.7750000000001</v>
      </c>
      <c r="K83" s="33"/>
      <c r="L83" s="11"/>
      <c r="M83" s="35">
        <f>(L84*12)+G84+I83+J83</f>
        <v>94274.354999999996</v>
      </c>
    </row>
    <row r="84" spans="1:13" ht="13.5" thickBot="1" x14ac:dyDescent="0.25">
      <c r="A84" s="34"/>
      <c r="B84" s="9" t="s">
        <v>60</v>
      </c>
      <c r="C84" s="9" t="s">
        <v>54</v>
      </c>
      <c r="D84" s="9">
        <v>1</v>
      </c>
      <c r="E84" s="10">
        <f>5685*1.03</f>
        <v>5855.55</v>
      </c>
      <c r="F84" s="34"/>
      <c r="G84" s="10">
        <f>14781*1.03</f>
        <v>15224.43</v>
      </c>
      <c r="H84" s="34"/>
      <c r="I84" s="17"/>
      <c r="J84" s="17"/>
      <c r="K84" s="34"/>
      <c r="L84" s="11">
        <f t="shared" si="1"/>
        <v>5855.55</v>
      </c>
      <c r="M84" s="36"/>
    </row>
    <row r="85" spans="1:13" ht="13.5" thickBot="1" x14ac:dyDescent="0.25">
      <c r="A85" s="13"/>
      <c r="B85" s="14"/>
      <c r="C85" s="14"/>
      <c r="D85" s="15"/>
      <c r="E85" s="15"/>
      <c r="F85" s="33"/>
      <c r="G85" s="15"/>
      <c r="H85" s="33"/>
      <c r="I85" s="16">
        <f>10080*1.03</f>
        <v>10382.4</v>
      </c>
      <c r="J85" s="16">
        <f>5040*1.03</f>
        <v>5191.2</v>
      </c>
      <c r="K85" s="33"/>
      <c r="L85" s="11"/>
      <c r="M85" s="35">
        <f>(L86*12)+G86+I85+J85</f>
        <v>164061.69600000003</v>
      </c>
    </row>
    <row r="86" spans="1:13" ht="13.5" thickBot="1" x14ac:dyDescent="0.25">
      <c r="A86" s="8" t="s">
        <v>96</v>
      </c>
      <c r="B86" s="9" t="s">
        <v>60</v>
      </c>
      <c r="C86" s="9" t="s">
        <v>54</v>
      </c>
      <c r="D86" s="9">
        <v>2</v>
      </c>
      <c r="E86" s="10">
        <f>10109.6*1.03</f>
        <v>10412.888000000001</v>
      </c>
      <c r="F86" s="34"/>
      <c r="G86" s="10">
        <f>22848*1.03</f>
        <v>23533.440000000002</v>
      </c>
      <c r="H86" s="34"/>
      <c r="I86" s="17"/>
      <c r="J86" s="17"/>
      <c r="K86" s="34"/>
      <c r="L86" s="11">
        <f t="shared" si="1"/>
        <v>10412.888000000001</v>
      </c>
      <c r="M86" s="36"/>
    </row>
    <row r="87" spans="1:13" ht="13.5" thickBot="1" x14ac:dyDescent="0.25">
      <c r="A87" s="13"/>
      <c r="B87" s="14"/>
      <c r="C87" s="14"/>
      <c r="D87" s="15"/>
      <c r="E87" s="15"/>
      <c r="F87" s="33"/>
      <c r="G87" s="15"/>
      <c r="H87" s="33"/>
      <c r="I87" s="16">
        <f>4251*1.03</f>
        <v>4378.53</v>
      </c>
      <c r="J87" s="16">
        <f>2125.5*1.03</f>
        <v>2189.2649999999999</v>
      </c>
      <c r="K87" s="33"/>
      <c r="L87" s="11"/>
      <c r="M87" s="35">
        <f>(L88*12)+G88+I87+J87</f>
        <v>72113.493000000002</v>
      </c>
    </row>
    <row r="88" spans="1:13" ht="13.5" thickBot="1" x14ac:dyDescent="0.25">
      <c r="A88" s="8" t="s">
        <v>97</v>
      </c>
      <c r="B88" s="9" t="s">
        <v>68</v>
      </c>
      <c r="C88" s="9" t="s">
        <v>54</v>
      </c>
      <c r="D88" s="9">
        <v>1</v>
      </c>
      <c r="E88" s="10">
        <f>4382*1.03</f>
        <v>4513.46</v>
      </c>
      <c r="F88" s="34"/>
      <c r="G88" s="10">
        <f>11052.6*1.03</f>
        <v>11384.178</v>
      </c>
      <c r="H88" s="34"/>
      <c r="I88" s="17"/>
      <c r="J88" s="17"/>
      <c r="K88" s="34"/>
      <c r="L88" s="11">
        <f t="shared" si="1"/>
        <v>4513.46</v>
      </c>
      <c r="M88" s="36"/>
    </row>
    <row r="89" spans="1:13" ht="13.5" thickBot="1" x14ac:dyDescent="0.25">
      <c r="A89" s="13"/>
      <c r="B89" s="14"/>
      <c r="C89" s="14"/>
      <c r="D89" s="15"/>
      <c r="E89" s="15"/>
      <c r="F89" s="33"/>
      <c r="G89" s="15"/>
      <c r="H89" s="33"/>
      <c r="I89" s="16">
        <f>12753*1.03</f>
        <v>13135.59</v>
      </c>
      <c r="J89" s="16">
        <f>6376.5*1.03</f>
        <v>6567.7950000000001</v>
      </c>
      <c r="K89" s="33"/>
      <c r="L89" s="11"/>
      <c r="M89" s="35">
        <f>(L90*12)+G90+I89+J89</f>
        <v>210502.43900000001</v>
      </c>
    </row>
    <row r="90" spans="1:13" ht="13.5" thickBot="1" x14ac:dyDescent="0.25">
      <c r="A90" s="8" t="s">
        <v>84</v>
      </c>
      <c r="B90" s="9" t="s">
        <v>68</v>
      </c>
      <c r="C90" s="9" t="s">
        <v>54</v>
      </c>
      <c r="D90" s="9">
        <v>3</v>
      </c>
      <c r="E90" s="10">
        <f>13146*1.03</f>
        <v>13540.380000000001</v>
      </c>
      <c r="F90" s="34"/>
      <c r="G90" s="10">
        <f>27489.8*1.03</f>
        <v>28314.493999999999</v>
      </c>
      <c r="H90" s="34"/>
      <c r="I90" s="17"/>
      <c r="J90" s="17"/>
      <c r="K90" s="34"/>
      <c r="L90" s="11">
        <f t="shared" si="1"/>
        <v>13540.380000000001</v>
      </c>
      <c r="M90" s="36"/>
    </row>
    <row r="91" spans="1:13" ht="13.5" thickBot="1" x14ac:dyDescent="0.25">
      <c r="A91" s="33" t="s">
        <v>98</v>
      </c>
      <c r="B91" s="14"/>
      <c r="C91" s="14"/>
      <c r="D91" s="15"/>
      <c r="E91" s="15"/>
      <c r="F91" s="33"/>
      <c r="G91" s="15"/>
      <c r="H91" s="33"/>
      <c r="I91" s="16">
        <f>6628.5*1.03</f>
        <v>6827.3550000000005</v>
      </c>
      <c r="J91" s="16">
        <f>3314.25*1.03</f>
        <v>3413.6775000000002</v>
      </c>
      <c r="K91" s="33"/>
      <c r="L91" s="11"/>
      <c r="M91" s="35">
        <f>(L92*12)+G92+I91+J91</f>
        <v>109920.4155</v>
      </c>
    </row>
    <row r="92" spans="1:13" ht="13.5" thickBot="1" x14ac:dyDescent="0.25">
      <c r="A92" s="34"/>
      <c r="B92" s="9" t="s">
        <v>58</v>
      </c>
      <c r="C92" s="9" t="s">
        <v>54</v>
      </c>
      <c r="D92" s="9">
        <v>1</v>
      </c>
      <c r="E92" s="10">
        <f>6628.5*1.03</f>
        <v>6827.3550000000005</v>
      </c>
      <c r="F92" s="34"/>
      <c r="G92" s="10">
        <f>17234.1*1.03</f>
        <v>17751.123</v>
      </c>
      <c r="H92" s="34"/>
      <c r="I92" s="17"/>
      <c r="J92" s="17"/>
      <c r="K92" s="34"/>
      <c r="L92" s="11">
        <f t="shared" si="1"/>
        <v>6827.3550000000005</v>
      </c>
      <c r="M92" s="36"/>
    </row>
    <row r="93" spans="1:13" ht="13.5" thickBot="1" x14ac:dyDescent="0.25">
      <c r="A93" s="13"/>
      <c r="B93" s="14"/>
      <c r="C93" s="14"/>
      <c r="D93" s="15"/>
      <c r="E93" s="15"/>
      <c r="F93" s="33"/>
      <c r="G93" s="15"/>
      <c r="H93" s="33"/>
      <c r="I93" s="16">
        <f>25506*1.03</f>
        <v>26271.18</v>
      </c>
      <c r="J93" s="16">
        <f>12753*1.03</f>
        <v>13135.59</v>
      </c>
      <c r="K93" s="33"/>
      <c r="L93" s="11"/>
      <c r="M93" s="35">
        <f>(L94*12)+G94+I93+J93</f>
        <v>418085.85800000001</v>
      </c>
    </row>
    <row r="94" spans="1:13" ht="13.5" thickBot="1" x14ac:dyDescent="0.25">
      <c r="A94" s="8" t="s">
        <v>99</v>
      </c>
      <c r="B94" s="9" t="s">
        <v>68</v>
      </c>
      <c r="C94" s="9" t="s">
        <v>54</v>
      </c>
      <c r="D94" s="9">
        <v>6</v>
      </c>
      <c r="E94" s="10">
        <f>26292*1.03</f>
        <v>27080.760000000002</v>
      </c>
      <c r="F94" s="34"/>
      <c r="G94" s="10">
        <f>52145.6*1.03</f>
        <v>53709.968000000001</v>
      </c>
      <c r="H94" s="34"/>
      <c r="I94" s="17"/>
      <c r="J94" s="17"/>
      <c r="K94" s="34"/>
      <c r="L94" s="11">
        <f t="shared" si="1"/>
        <v>27080.760000000002</v>
      </c>
      <c r="M94" s="36"/>
    </row>
    <row r="95" spans="1:13" ht="13.5" thickBot="1" x14ac:dyDescent="0.25">
      <c r="A95" s="13"/>
      <c r="B95" s="14"/>
      <c r="C95" s="14"/>
      <c r="D95" s="15"/>
      <c r="E95" s="15"/>
      <c r="F95" s="33"/>
      <c r="G95" s="15"/>
      <c r="H95" s="33"/>
      <c r="I95" s="16">
        <f>51012*1.03</f>
        <v>52542.36</v>
      </c>
      <c r="J95" s="16">
        <f>25506*1.03</f>
        <v>26271.18</v>
      </c>
      <c r="K95" s="33"/>
      <c r="L95" s="11"/>
      <c r="M95" s="35">
        <f>(L96*12)+G96+I95+J95</f>
        <v>833252.696</v>
      </c>
    </row>
    <row r="96" spans="1:13" ht="13.5" thickBot="1" x14ac:dyDescent="0.25">
      <c r="A96" s="8" t="s">
        <v>100</v>
      </c>
      <c r="B96" s="9" t="s">
        <v>101</v>
      </c>
      <c r="C96" s="9" t="s">
        <v>54</v>
      </c>
      <c r="D96" s="9">
        <v>12</v>
      </c>
      <c r="E96" s="10">
        <f>52584*1.03</f>
        <v>54161.520000000004</v>
      </c>
      <c r="F96" s="34"/>
      <c r="G96" s="10">
        <f>101457.2*1.03</f>
        <v>104500.916</v>
      </c>
      <c r="H96" s="34"/>
      <c r="I96" s="17"/>
      <c r="J96" s="17"/>
      <c r="K96" s="34"/>
      <c r="L96" s="11">
        <f t="shared" si="1"/>
        <v>54161.520000000004</v>
      </c>
      <c r="M96" s="36"/>
    </row>
    <row r="97" spans="1:13" ht="13.5" thickBot="1" x14ac:dyDescent="0.25">
      <c r="A97" s="13"/>
      <c r="B97" s="14"/>
      <c r="C97" s="14"/>
      <c r="D97" s="15"/>
      <c r="E97" s="15"/>
      <c r="F97" s="33"/>
      <c r="G97" s="15"/>
      <c r="H97" s="33"/>
      <c r="I97" s="16">
        <f>4272*1.03</f>
        <v>4400.16</v>
      </c>
      <c r="J97" s="16">
        <f>2136*1.03</f>
        <v>2200.08</v>
      </c>
      <c r="K97" s="33"/>
      <c r="L97" s="11"/>
      <c r="M97" s="35">
        <f>(L98*12)+G98+I97+J97</f>
        <v>72442.454400000002</v>
      </c>
    </row>
    <row r="98" spans="1:13" ht="13.5" thickBot="1" x14ac:dyDescent="0.25">
      <c r="A98" s="8" t="s">
        <v>82</v>
      </c>
      <c r="B98" s="9" t="s">
        <v>91</v>
      </c>
      <c r="C98" s="9" t="s">
        <v>54</v>
      </c>
      <c r="D98" s="9">
        <v>1</v>
      </c>
      <c r="E98" s="10">
        <f>4401.44*1.03</f>
        <v>4533.4831999999997</v>
      </c>
      <c r="F98" s="34"/>
      <c r="G98" s="10">
        <f>11107.2*1.03</f>
        <v>11440.416000000001</v>
      </c>
      <c r="H98" s="34"/>
      <c r="I98" s="17"/>
      <c r="J98" s="17"/>
      <c r="K98" s="34"/>
      <c r="L98" s="11">
        <f t="shared" si="1"/>
        <v>4533.4831999999997</v>
      </c>
      <c r="M98" s="36"/>
    </row>
    <row r="99" spans="1:13" ht="13.5" thickBot="1" x14ac:dyDescent="0.25">
      <c r="A99" s="13"/>
      <c r="B99" s="14"/>
      <c r="C99" s="14"/>
      <c r="D99" s="15"/>
      <c r="E99" s="15"/>
      <c r="F99" s="33"/>
      <c r="G99" s="15"/>
      <c r="H99" s="33"/>
      <c r="I99" s="16">
        <f>7582.5*1.03</f>
        <v>7809.9750000000004</v>
      </c>
      <c r="J99" s="16">
        <f>3791.25*1.03</f>
        <v>3904.9875000000002</v>
      </c>
      <c r="K99" s="33"/>
      <c r="L99" s="11"/>
      <c r="M99" s="35">
        <f>(L100*12)+G100+I99+J99</f>
        <v>125740.59750000002</v>
      </c>
    </row>
    <row r="100" spans="1:13" ht="13.5" thickBot="1" x14ac:dyDescent="0.25">
      <c r="A100" s="8" t="s">
        <v>102</v>
      </c>
      <c r="B100" s="9" t="s">
        <v>58</v>
      </c>
      <c r="C100" s="9" t="s">
        <v>54</v>
      </c>
      <c r="D100" s="9">
        <v>1</v>
      </c>
      <c r="E100" s="10">
        <f>7582.5*1.03</f>
        <v>7809.9750000000004</v>
      </c>
      <c r="F100" s="34"/>
      <c r="G100" s="10">
        <f>19714.5*1.03</f>
        <v>20305.935000000001</v>
      </c>
      <c r="H100" s="34"/>
      <c r="I100" s="17"/>
      <c r="J100" s="17"/>
      <c r="K100" s="34"/>
      <c r="L100" s="11">
        <f t="shared" si="1"/>
        <v>7809.9750000000004</v>
      </c>
      <c r="M100" s="36"/>
    </row>
    <row r="101" spans="1:13" ht="13.5" thickBot="1" x14ac:dyDescent="0.25">
      <c r="A101" s="13"/>
      <c r="B101" s="14"/>
      <c r="C101" s="14"/>
      <c r="D101" s="15"/>
      <c r="E101" s="15"/>
      <c r="F101" s="33"/>
      <c r="G101" s="15"/>
      <c r="H101" s="33"/>
      <c r="I101" s="16">
        <f>9906.6*1.03</f>
        <v>10203.798000000001</v>
      </c>
      <c r="J101" s="16">
        <f>4953.3*1.03</f>
        <v>5101.8990000000003</v>
      </c>
      <c r="K101" s="33"/>
      <c r="L101" s="11"/>
      <c r="M101" s="35">
        <f>(L102*12)+G102+I101+J101</f>
        <v>164281.14780000001</v>
      </c>
    </row>
    <row r="102" spans="1:13" ht="13.5" thickBot="1" x14ac:dyDescent="0.25">
      <c r="A102" s="8" t="s">
        <v>103</v>
      </c>
      <c r="B102" s="9" t="s">
        <v>72</v>
      </c>
      <c r="C102" s="9" t="s">
        <v>54</v>
      </c>
      <c r="D102" s="9">
        <v>1</v>
      </c>
      <c r="E102" s="10">
        <f>9906.6*1.03</f>
        <v>10203.798000000001</v>
      </c>
      <c r="F102" s="34"/>
      <c r="G102" s="10">
        <f>25757.16*1.03</f>
        <v>26529.874800000001</v>
      </c>
      <c r="H102" s="34"/>
      <c r="I102" s="17"/>
      <c r="J102" s="17"/>
      <c r="K102" s="34"/>
      <c r="L102" s="11">
        <f t="shared" si="1"/>
        <v>10203.798000000001</v>
      </c>
      <c r="M102" s="36"/>
    </row>
    <row r="103" spans="1:13" ht="13.5" thickBot="1" x14ac:dyDescent="0.25">
      <c r="A103" s="13"/>
      <c r="B103" s="14"/>
      <c r="C103" s="14"/>
      <c r="D103" s="15"/>
      <c r="E103" s="15"/>
      <c r="F103" s="33"/>
      <c r="G103" s="15"/>
      <c r="H103" s="33"/>
      <c r="I103" s="16">
        <f>9292.5*1.03</f>
        <v>9571.2749999999996</v>
      </c>
      <c r="J103" s="16">
        <f>4646.25*1.03</f>
        <v>4785.6374999999998</v>
      </c>
      <c r="K103" s="33"/>
      <c r="L103" s="11"/>
      <c r="M103" s="35">
        <f>(L104*12)+G104+I103+J103</f>
        <v>154097.5275</v>
      </c>
    </row>
    <row r="104" spans="1:13" ht="13.5" thickBot="1" x14ac:dyDescent="0.25">
      <c r="A104" s="8" t="s">
        <v>104</v>
      </c>
      <c r="B104" s="9" t="s">
        <v>72</v>
      </c>
      <c r="C104" s="9" t="s">
        <v>54</v>
      </c>
      <c r="D104" s="9">
        <v>1</v>
      </c>
      <c r="E104" s="10">
        <f>9292.5*1.03</f>
        <v>9571.2749999999996</v>
      </c>
      <c r="F104" s="34"/>
      <c r="G104" s="10">
        <f>24160.5*1.03</f>
        <v>24885.315000000002</v>
      </c>
      <c r="H104" s="34"/>
      <c r="I104" s="17"/>
      <c r="J104" s="17"/>
      <c r="K104" s="34"/>
      <c r="L104" s="11">
        <f t="shared" si="1"/>
        <v>9571.2749999999996</v>
      </c>
      <c r="M104" s="36"/>
    </row>
    <row r="105" spans="1:13" ht="13.5" thickBot="1" x14ac:dyDescent="0.25">
      <c r="A105" s="13"/>
      <c r="B105" s="14"/>
      <c r="C105" s="14"/>
      <c r="D105" s="15"/>
      <c r="E105" s="15"/>
      <c r="F105" s="33"/>
      <c r="G105" s="15"/>
      <c r="H105" s="33"/>
      <c r="I105" s="16">
        <f>5022.9*1.03</f>
        <v>5173.5869999999995</v>
      </c>
      <c r="J105" s="16">
        <f>2511.45*1.03</f>
        <v>2586.7934999999998</v>
      </c>
      <c r="K105" s="33"/>
      <c r="L105" s="11"/>
      <c r="M105" s="35">
        <f>(L106*12)+G106+I105+J105</f>
        <v>83501.162700000001</v>
      </c>
    </row>
    <row r="106" spans="1:13" ht="13.5" thickBot="1" x14ac:dyDescent="0.25">
      <c r="A106" s="8" t="s">
        <v>82</v>
      </c>
      <c r="B106" s="9" t="s">
        <v>60</v>
      </c>
      <c r="C106" s="9" t="s">
        <v>54</v>
      </c>
      <c r="D106" s="9">
        <v>1</v>
      </c>
      <c r="E106" s="10">
        <f>5039.6*1.03</f>
        <v>5190.7880000000005</v>
      </c>
      <c r="F106" s="34"/>
      <c r="G106" s="10">
        <f>13059.54*1.03</f>
        <v>13451.326200000001</v>
      </c>
      <c r="H106" s="34"/>
      <c r="I106" s="17"/>
      <c r="J106" s="17"/>
      <c r="K106" s="34"/>
      <c r="L106" s="11">
        <f t="shared" si="1"/>
        <v>5190.7880000000005</v>
      </c>
      <c r="M106" s="36"/>
    </row>
    <row r="107" spans="1:13" ht="13.5" thickBot="1" x14ac:dyDescent="0.25">
      <c r="A107" s="33" t="s">
        <v>105</v>
      </c>
      <c r="B107" s="14"/>
      <c r="C107" s="14"/>
      <c r="D107" s="15"/>
      <c r="E107" s="15"/>
      <c r="F107" s="33"/>
      <c r="G107" s="15"/>
      <c r="H107" s="33"/>
      <c r="I107" s="16">
        <f>4251*1.03</f>
        <v>4378.53</v>
      </c>
      <c r="J107" s="16">
        <f>2125.5*1.03</f>
        <v>2189.2649999999999</v>
      </c>
      <c r="K107" s="33"/>
      <c r="L107" s="11"/>
      <c r="M107" s="35">
        <f>(L108*12)+G108+I107+J107</f>
        <v>72113.493000000002</v>
      </c>
    </row>
    <row r="108" spans="1:13" ht="13.5" thickBot="1" x14ac:dyDescent="0.25">
      <c r="A108" s="34"/>
      <c r="B108" s="9" t="s">
        <v>68</v>
      </c>
      <c r="C108" s="9" t="s">
        <v>54</v>
      </c>
      <c r="D108" s="9">
        <v>1</v>
      </c>
      <c r="E108" s="10">
        <f>4382*1.03</f>
        <v>4513.46</v>
      </c>
      <c r="F108" s="34"/>
      <c r="G108" s="10">
        <f>11052.6*1.03</f>
        <v>11384.178</v>
      </c>
      <c r="H108" s="34"/>
      <c r="I108" s="17"/>
      <c r="J108" s="17"/>
      <c r="K108" s="34"/>
      <c r="L108" s="11">
        <f t="shared" si="1"/>
        <v>4513.46</v>
      </c>
      <c r="M108" s="36"/>
    </row>
    <row r="109" spans="1:13" ht="13.5" thickBot="1" x14ac:dyDescent="0.25">
      <c r="A109" s="13"/>
      <c r="B109" s="14"/>
      <c r="C109" s="14"/>
      <c r="D109" s="15"/>
      <c r="E109" s="15"/>
      <c r="F109" s="33"/>
      <c r="G109" s="15"/>
      <c r="H109" s="33"/>
      <c r="I109" s="16">
        <f>5503.8*1.03</f>
        <v>5668.9140000000007</v>
      </c>
      <c r="J109" s="16">
        <f>2751.9*1.03</f>
        <v>2834.4570000000003</v>
      </c>
      <c r="K109" s="33"/>
      <c r="L109" s="11"/>
      <c r="M109" s="35">
        <f>(L110*12)+G110+I109+J109</f>
        <v>90461.171399999992</v>
      </c>
    </row>
    <row r="110" spans="1:13" ht="13.5" thickBot="1" x14ac:dyDescent="0.25">
      <c r="A110" s="8" t="s">
        <v>106</v>
      </c>
      <c r="B110" s="9" t="s">
        <v>60</v>
      </c>
      <c r="C110" s="9" t="s">
        <v>54</v>
      </c>
      <c r="D110" s="9">
        <v>1</v>
      </c>
      <c r="E110" s="10">
        <f>5438.4*1.03</f>
        <v>5601.5519999999997</v>
      </c>
      <c r="F110" s="34"/>
      <c r="G110" s="10">
        <f>14309.88*1.03</f>
        <v>14739.1764</v>
      </c>
      <c r="H110" s="34"/>
      <c r="I110" s="17"/>
      <c r="J110" s="17"/>
      <c r="K110" s="34"/>
      <c r="L110" s="11">
        <f t="shared" si="1"/>
        <v>5601.5519999999997</v>
      </c>
      <c r="M110" s="36"/>
    </row>
    <row r="111" spans="1:13" ht="13.5" thickBot="1" x14ac:dyDescent="0.25">
      <c r="A111" s="33" t="s">
        <v>87</v>
      </c>
      <c r="B111" s="14"/>
      <c r="C111" s="14"/>
      <c r="D111" s="15"/>
      <c r="E111" s="15"/>
      <c r="F111" s="33"/>
      <c r="G111" s="15"/>
      <c r="H111" s="33"/>
      <c r="I111" s="16">
        <f>11007.6*1.03</f>
        <v>11337.828000000001</v>
      </c>
      <c r="J111" s="16">
        <f>5503.8*1.03</f>
        <v>5668.9140000000007</v>
      </c>
      <c r="K111" s="33"/>
      <c r="L111" s="11"/>
      <c r="M111" s="35">
        <f>(L112*12)+G112+I111+J111</f>
        <v>177143.0668</v>
      </c>
    </row>
    <row r="112" spans="1:13" ht="13.5" thickBot="1" x14ac:dyDescent="0.25">
      <c r="A112" s="34"/>
      <c r="B112" s="9" t="s">
        <v>60</v>
      </c>
      <c r="C112" s="9" t="s">
        <v>54</v>
      </c>
      <c r="D112" s="9">
        <v>2</v>
      </c>
      <c r="E112" s="10">
        <f>10876.8*1.03</f>
        <v>11203.103999999999</v>
      </c>
      <c r="F112" s="34"/>
      <c r="G112" s="10">
        <f>24950.56*1.03</f>
        <v>25699.076800000003</v>
      </c>
      <c r="H112" s="34"/>
      <c r="I112" s="17"/>
      <c r="J112" s="17"/>
      <c r="K112" s="34"/>
      <c r="L112" s="11">
        <f t="shared" si="1"/>
        <v>11203.103999999999</v>
      </c>
      <c r="M112" s="36"/>
    </row>
    <row r="113" spans="1:13" ht="13.5" thickBot="1" x14ac:dyDescent="0.25">
      <c r="A113" s="33" t="s">
        <v>107</v>
      </c>
      <c r="B113" s="14"/>
      <c r="C113" s="14"/>
      <c r="D113" s="15"/>
      <c r="E113" s="15"/>
      <c r="F113" s="33"/>
      <c r="G113" s="15"/>
      <c r="H113" s="33"/>
      <c r="I113" s="16">
        <f>4251*1.03</f>
        <v>4378.53</v>
      </c>
      <c r="J113" s="16">
        <f>2125.5*1.03</f>
        <v>2189.2649999999999</v>
      </c>
      <c r="K113" s="33"/>
      <c r="L113" s="11"/>
      <c r="M113" s="35">
        <f>(L114*12)+G114+I113+J113</f>
        <v>72113.493000000002</v>
      </c>
    </row>
    <row r="114" spans="1:13" ht="13.5" thickBot="1" x14ac:dyDescent="0.25">
      <c r="A114" s="34"/>
      <c r="B114" s="9" t="s">
        <v>91</v>
      </c>
      <c r="C114" s="9" t="s">
        <v>54</v>
      </c>
      <c r="D114" s="9">
        <v>1</v>
      </c>
      <c r="E114" s="10">
        <f>4382*1.03</f>
        <v>4513.46</v>
      </c>
      <c r="F114" s="34"/>
      <c r="G114" s="10">
        <f>11052.6*1.03</f>
        <v>11384.178</v>
      </c>
      <c r="H114" s="34"/>
      <c r="I114" s="17"/>
      <c r="J114" s="17"/>
      <c r="K114" s="34"/>
      <c r="L114" s="11">
        <f t="shared" si="1"/>
        <v>4513.46</v>
      </c>
      <c r="M114" s="36"/>
    </row>
    <row r="115" spans="1:13" ht="13.5" thickBot="1" x14ac:dyDescent="0.25">
      <c r="A115" s="13"/>
      <c r="B115" s="14"/>
      <c r="C115" s="14"/>
      <c r="D115" s="15"/>
      <c r="E115" s="15"/>
      <c r="F115" s="33"/>
      <c r="G115" s="15"/>
      <c r="H115" s="33"/>
      <c r="I115" s="16">
        <f>4251*1.03</f>
        <v>4378.53</v>
      </c>
      <c r="J115" s="16">
        <f>2125.5*1.03</f>
        <v>2189.2649999999999</v>
      </c>
      <c r="K115" s="33"/>
      <c r="L115" s="11"/>
      <c r="M115" s="35">
        <f>(L116*12)+G116+I115+J115</f>
        <v>72113.493000000002</v>
      </c>
    </row>
    <row r="116" spans="1:13" ht="13.5" thickBot="1" x14ac:dyDescent="0.25">
      <c r="A116" s="8" t="s">
        <v>108</v>
      </c>
      <c r="B116" s="9" t="s">
        <v>68</v>
      </c>
      <c r="C116" s="9" t="s">
        <v>54</v>
      </c>
      <c r="D116" s="9">
        <v>1</v>
      </c>
      <c r="E116" s="10">
        <f>4382*1.03</f>
        <v>4513.46</v>
      </c>
      <c r="F116" s="34"/>
      <c r="G116" s="10">
        <f>11052.6*1.03</f>
        <v>11384.178</v>
      </c>
      <c r="H116" s="34"/>
      <c r="I116" s="17"/>
      <c r="J116" s="17"/>
      <c r="K116" s="34"/>
      <c r="L116" s="11">
        <f t="shared" si="1"/>
        <v>4513.46</v>
      </c>
      <c r="M116" s="36"/>
    </row>
    <row r="117" spans="1:13" ht="13.5" thickBot="1" x14ac:dyDescent="0.25">
      <c r="A117" s="13"/>
      <c r="B117" s="14"/>
      <c r="C117" s="14"/>
      <c r="D117" s="15"/>
      <c r="E117" s="15"/>
      <c r="F117" s="33"/>
      <c r="G117" s="15"/>
      <c r="H117" s="33"/>
      <c r="I117" s="16">
        <f>9195*1.03</f>
        <v>9470.85</v>
      </c>
      <c r="J117" s="16">
        <f>4597.5*1.03</f>
        <v>4735.4250000000002</v>
      </c>
      <c r="K117" s="33"/>
      <c r="L117" s="11"/>
      <c r="M117" s="35">
        <f>(L118*12)+G118+I117+J117</f>
        <v>152480.685</v>
      </c>
    </row>
    <row r="118" spans="1:13" ht="13.5" thickBot="1" x14ac:dyDescent="0.25">
      <c r="A118" s="8" t="s">
        <v>79</v>
      </c>
      <c r="B118" s="9" t="s">
        <v>72</v>
      </c>
      <c r="C118" s="9" t="s">
        <v>54</v>
      </c>
      <c r="D118" s="9">
        <v>1</v>
      </c>
      <c r="E118" s="10">
        <f>9195*1.03</f>
        <v>9470.85</v>
      </c>
      <c r="F118" s="34"/>
      <c r="G118" s="10">
        <f>23907*1.03</f>
        <v>24624.21</v>
      </c>
      <c r="H118" s="34"/>
      <c r="I118" s="17"/>
      <c r="J118" s="17"/>
      <c r="K118" s="34"/>
      <c r="L118" s="11">
        <f t="shared" si="1"/>
        <v>9470.85</v>
      </c>
      <c r="M118" s="36"/>
    </row>
    <row r="119" spans="1:13" ht="13.5" thickBot="1" x14ac:dyDescent="0.25">
      <c r="A119" s="13"/>
      <c r="B119" s="14"/>
      <c r="C119" s="14"/>
      <c r="D119" s="15"/>
      <c r="E119" s="15"/>
      <c r="F119" s="33"/>
      <c r="G119" s="15"/>
      <c r="H119" s="33"/>
      <c r="I119" s="16">
        <f>4251*1.03</f>
        <v>4378.53</v>
      </c>
      <c r="J119" s="16">
        <f>2125.5*1.03</f>
        <v>2189.2649999999999</v>
      </c>
      <c r="K119" s="33"/>
      <c r="L119" s="11"/>
      <c r="M119" s="35">
        <f>(L120*12)+G120+I119+J119</f>
        <v>72113.493000000002</v>
      </c>
    </row>
    <row r="120" spans="1:13" ht="13.5" thickBot="1" x14ac:dyDescent="0.25">
      <c r="A120" s="8" t="s">
        <v>65</v>
      </c>
      <c r="B120" s="9" t="s">
        <v>91</v>
      </c>
      <c r="C120" s="9" t="s">
        <v>54</v>
      </c>
      <c r="D120" s="9">
        <v>1</v>
      </c>
      <c r="E120" s="10">
        <f>4382*1.03</f>
        <v>4513.46</v>
      </c>
      <c r="F120" s="34"/>
      <c r="G120" s="10">
        <f>11052.6*1.03</f>
        <v>11384.178</v>
      </c>
      <c r="H120" s="34"/>
      <c r="I120" s="17"/>
      <c r="J120" s="17"/>
      <c r="K120" s="34"/>
      <c r="L120" s="11">
        <f t="shared" si="1"/>
        <v>4513.46</v>
      </c>
      <c r="M120" s="36"/>
    </row>
    <row r="121" spans="1:13" ht="13.5" thickBot="1" x14ac:dyDescent="0.25">
      <c r="A121" s="33" t="s">
        <v>109</v>
      </c>
      <c r="B121" s="14"/>
      <c r="C121" s="14"/>
      <c r="D121" s="15"/>
      <c r="E121" s="15"/>
      <c r="F121" s="33"/>
      <c r="G121" s="15"/>
      <c r="H121" s="33"/>
      <c r="I121" s="16">
        <f>7582.5*1.03</f>
        <v>7809.9750000000004</v>
      </c>
      <c r="J121" s="16">
        <f>3791.25*1.03</f>
        <v>3904.9875000000002</v>
      </c>
      <c r="K121" s="33"/>
      <c r="L121" s="11"/>
      <c r="M121" s="35">
        <f>(L122*12)+G122+I121+J121</f>
        <v>125740.59750000002</v>
      </c>
    </row>
    <row r="122" spans="1:13" ht="13.5" thickBot="1" x14ac:dyDescent="0.25">
      <c r="A122" s="34"/>
      <c r="B122" s="9" t="s">
        <v>58</v>
      </c>
      <c r="C122" s="9" t="s">
        <v>54</v>
      </c>
      <c r="D122" s="9">
        <v>1</v>
      </c>
      <c r="E122" s="10">
        <f>7582.5*1.03</f>
        <v>7809.9750000000004</v>
      </c>
      <c r="F122" s="34"/>
      <c r="G122" s="10">
        <f>19714.5*1.03</f>
        <v>20305.935000000001</v>
      </c>
      <c r="H122" s="34"/>
      <c r="I122" s="17"/>
      <c r="J122" s="17"/>
      <c r="K122" s="34"/>
      <c r="L122" s="11">
        <f t="shared" si="1"/>
        <v>7809.9750000000004</v>
      </c>
      <c r="M122" s="36"/>
    </row>
    <row r="123" spans="1:13" ht="13.5" thickBot="1" x14ac:dyDescent="0.25">
      <c r="A123" s="33" t="s">
        <v>110</v>
      </c>
      <c r="B123" s="14"/>
      <c r="C123" s="14"/>
      <c r="D123" s="15"/>
      <c r="E123" s="15"/>
      <c r="F123" s="33"/>
      <c r="G123" s="15"/>
      <c r="H123" s="33"/>
      <c r="I123" s="16">
        <f>6180*1.03</f>
        <v>6365.4000000000005</v>
      </c>
      <c r="J123" s="16">
        <f>3090*1.03</f>
        <v>3182.7000000000003</v>
      </c>
      <c r="K123" s="33"/>
      <c r="L123" s="11"/>
      <c r="M123" s="35">
        <f>(L124*12)+G124+I123+J123</f>
        <v>102482.93999999999</v>
      </c>
    </row>
    <row r="124" spans="1:13" ht="13.5" thickBot="1" x14ac:dyDescent="0.25">
      <c r="A124" s="34"/>
      <c r="B124" s="9" t="s">
        <v>58</v>
      </c>
      <c r="C124" s="9" t="s">
        <v>54</v>
      </c>
      <c r="D124" s="9">
        <v>1</v>
      </c>
      <c r="E124" s="10">
        <f>6180*1.03</f>
        <v>6365.4000000000005</v>
      </c>
      <c r="F124" s="34"/>
      <c r="G124" s="10">
        <f>16068*1.03</f>
        <v>16550.04</v>
      </c>
      <c r="H124" s="34"/>
      <c r="I124" s="17"/>
      <c r="J124" s="17"/>
      <c r="K124" s="34"/>
      <c r="L124" s="11">
        <f t="shared" si="1"/>
        <v>6365.4000000000005</v>
      </c>
      <c r="M124" s="36"/>
    </row>
    <row r="125" spans="1:13" ht="13.5" thickBot="1" x14ac:dyDescent="0.25">
      <c r="A125" s="13"/>
      <c r="B125" s="14"/>
      <c r="C125" s="14"/>
      <c r="D125" s="15"/>
      <c r="E125" s="15"/>
      <c r="F125" s="33"/>
      <c r="G125" s="15"/>
      <c r="H125" s="33"/>
      <c r="I125" s="16">
        <f>4251*1.03</f>
        <v>4378.53</v>
      </c>
      <c r="J125" s="16">
        <f>2125.5*1.03</f>
        <v>2189.2649999999999</v>
      </c>
      <c r="K125" s="33"/>
      <c r="L125" s="11"/>
      <c r="M125" s="35">
        <f>(L126*12)+G126+I125+J125</f>
        <v>72113.493000000002</v>
      </c>
    </row>
    <row r="126" spans="1:13" ht="26.25" thickBot="1" x14ac:dyDescent="0.25">
      <c r="A126" s="8" t="s">
        <v>111</v>
      </c>
      <c r="B126" s="9" t="s">
        <v>91</v>
      </c>
      <c r="C126" s="9" t="s">
        <v>54</v>
      </c>
      <c r="D126" s="9">
        <v>1</v>
      </c>
      <c r="E126" s="10">
        <f>4382*1.03</f>
        <v>4513.46</v>
      </c>
      <c r="F126" s="34"/>
      <c r="G126" s="10">
        <f>11052.6*1.03</f>
        <v>11384.178</v>
      </c>
      <c r="H126" s="34"/>
      <c r="I126" s="17"/>
      <c r="J126" s="17"/>
      <c r="K126" s="34"/>
      <c r="L126" s="11">
        <f t="shared" si="1"/>
        <v>4513.46</v>
      </c>
      <c r="M126" s="36"/>
    </row>
    <row r="127" spans="1:13" ht="13.5" thickBot="1" x14ac:dyDescent="0.25">
      <c r="A127" s="13"/>
      <c r="B127" s="14"/>
      <c r="C127" s="14"/>
      <c r="D127" s="15"/>
      <c r="E127" s="15"/>
      <c r="F127" s="33"/>
      <c r="G127" s="15"/>
      <c r="H127" s="33"/>
      <c r="I127" s="16">
        <f>4251*1.03</f>
        <v>4378.53</v>
      </c>
      <c r="J127" s="16">
        <f>2125.5*1.03</f>
        <v>2189.2649999999999</v>
      </c>
      <c r="K127" s="33"/>
      <c r="L127" s="11"/>
      <c r="M127" s="35">
        <f>(L128*12)+G128+I127+J127</f>
        <v>72113.493000000002</v>
      </c>
    </row>
    <row r="128" spans="1:13" ht="26.25" thickBot="1" x14ac:dyDescent="0.25">
      <c r="A128" s="8" t="s">
        <v>66</v>
      </c>
      <c r="B128" s="9" t="s">
        <v>91</v>
      </c>
      <c r="C128" s="9" t="s">
        <v>54</v>
      </c>
      <c r="D128" s="9">
        <v>1</v>
      </c>
      <c r="E128" s="10">
        <f>4382*1.03</f>
        <v>4513.46</v>
      </c>
      <c r="F128" s="34"/>
      <c r="G128" s="10">
        <f>11052.6*1.03</f>
        <v>11384.178</v>
      </c>
      <c r="H128" s="34"/>
      <c r="I128" s="17"/>
      <c r="J128" s="17"/>
      <c r="K128" s="34"/>
      <c r="L128" s="11">
        <f t="shared" si="1"/>
        <v>4513.46</v>
      </c>
      <c r="M128" s="36"/>
    </row>
    <row r="129" spans="1:13" ht="13.5" thickBot="1" x14ac:dyDescent="0.25">
      <c r="A129" s="13"/>
      <c r="B129" s="14"/>
      <c r="C129" s="14"/>
      <c r="D129" s="15"/>
      <c r="E129" s="15"/>
      <c r="F129" s="33"/>
      <c r="G129" s="15"/>
      <c r="H129" s="33"/>
      <c r="I129" s="16">
        <f>4251*1.03</f>
        <v>4378.53</v>
      </c>
      <c r="J129" s="16">
        <f>2125.5*1.03</f>
        <v>2189.2649999999999</v>
      </c>
      <c r="K129" s="33"/>
      <c r="L129" s="11"/>
      <c r="M129" s="35">
        <f>(L130*12)+G130+I129+J129</f>
        <v>72113.493000000002</v>
      </c>
    </row>
    <row r="130" spans="1:13" ht="26.25" thickBot="1" x14ac:dyDescent="0.25">
      <c r="A130" s="8" t="s">
        <v>112</v>
      </c>
      <c r="B130" s="9" t="s">
        <v>68</v>
      </c>
      <c r="C130" s="9" t="s">
        <v>54</v>
      </c>
      <c r="D130" s="9">
        <v>1</v>
      </c>
      <c r="E130" s="10">
        <f>4382*1.03</f>
        <v>4513.46</v>
      </c>
      <c r="F130" s="34"/>
      <c r="G130" s="10">
        <f>11052.6*1.03</f>
        <v>11384.178</v>
      </c>
      <c r="H130" s="34"/>
      <c r="I130" s="17"/>
      <c r="J130" s="17"/>
      <c r="K130" s="34"/>
      <c r="L130" s="11">
        <f t="shared" si="1"/>
        <v>4513.46</v>
      </c>
      <c r="M130" s="36"/>
    </row>
    <row r="131" spans="1:13" ht="13.5" thickBot="1" x14ac:dyDescent="0.25">
      <c r="A131" s="13"/>
      <c r="B131" s="14"/>
      <c r="C131" s="14"/>
      <c r="D131" s="15"/>
      <c r="E131" s="15"/>
      <c r="F131" s="33"/>
      <c r="G131" s="15"/>
      <c r="H131" s="33"/>
      <c r="I131" s="16">
        <f>5022.9*1.03</f>
        <v>5173.5869999999995</v>
      </c>
      <c r="J131" s="16">
        <f>2511.45*1.03</f>
        <v>2586.7934999999998</v>
      </c>
      <c r="K131" s="33"/>
      <c r="L131" s="11"/>
      <c r="M131" s="35">
        <f>(L132*12)+G132+I131+J131</f>
        <v>83506.106699999989</v>
      </c>
    </row>
    <row r="132" spans="1:13" ht="13.5" thickBot="1" x14ac:dyDescent="0.25">
      <c r="A132" s="8" t="s">
        <v>82</v>
      </c>
      <c r="B132" s="9" t="s">
        <v>60</v>
      </c>
      <c r="C132" s="9" t="s">
        <v>54</v>
      </c>
      <c r="D132" s="9">
        <v>1</v>
      </c>
      <c r="E132" s="10">
        <f>5040*1.03</f>
        <v>5191.2</v>
      </c>
      <c r="F132" s="34"/>
      <c r="G132" s="10">
        <f>13059.54*1.03</f>
        <v>13451.326200000001</v>
      </c>
      <c r="H132" s="34"/>
      <c r="I132" s="17"/>
      <c r="J132" s="17"/>
      <c r="K132" s="34"/>
      <c r="L132" s="11">
        <f t="shared" si="1"/>
        <v>5191.2</v>
      </c>
      <c r="M132" s="36"/>
    </row>
    <row r="133" spans="1:13" ht="13.5" thickBot="1" x14ac:dyDescent="0.25">
      <c r="A133" s="13"/>
      <c r="B133" s="14"/>
      <c r="C133" s="14"/>
      <c r="D133" s="15"/>
      <c r="E133" s="15"/>
      <c r="F133" s="33"/>
      <c r="G133" s="15"/>
      <c r="H133" s="33"/>
      <c r="I133" s="16">
        <f>4251*1.03</f>
        <v>4378.53</v>
      </c>
      <c r="J133" s="16">
        <f>2125.5*1.03</f>
        <v>2189.2649999999999</v>
      </c>
      <c r="K133" s="33"/>
      <c r="L133" s="11"/>
      <c r="M133" s="35">
        <f>(L134*12)+G134+I133+J133</f>
        <v>72113.493000000002</v>
      </c>
    </row>
    <row r="134" spans="1:13" s="24" customFormat="1" ht="13.5" thickBot="1" x14ac:dyDescent="0.25">
      <c r="A134" s="19" t="s">
        <v>108</v>
      </c>
      <c r="B134" s="20" t="s">
        <v>68</v>
      </c>
      <c r="C134" s="20" t="s">
        <v>54</v>
      </c>
      <c r="D134" s="20">
        <v>1</v>
      </c>
      <c r="E134" s="21">
        <f>4382*1.03</f>
        <v>4513.46</v>
      </c>
      <c r="F134" s="34"/>
      <c r="G134" s="21">
        <f>11052.6*1.03</f>
        <v>11384.178</v>
      </c>
      <c r="H134" s="34"/>
      <c r="I134" s="22"/>
      <c r="J134" s="22"/>
      <c r="K134" s="34"/>
      <c r="L134" s="23">
        <f t="shared" ref="L134:L196" si="2">E134</f>
        <v>4513.46</v>
      </c>
      <c r="M134" s="36"/>
    </row>
    <row r="135" spans="1:13" ht="13.5" thickBot="1" x14ac:dyDescent="0.25">
      <c r="A135" s="13"/>
      <c r="B135" s="14"/>
      <c r="C135" s="14"/>
      <c r="D135" s="15"/>
      <c r="E135" s="15"/>
      <c r="F135" s="33"/>
      <c r="G135" s="15"/>
      <c r="H135" s="33"/>
      <c r="I135" s="16">
        <f>5503.8*1.03</f>
        <v>5668.9140000000007</v>
      </c>
      <c r="J135" s="16">
        <f>2751.9*1.03</f>
        <v>2834.4570000000003</v>
      </c>
      <c r="K135" s="33"/>
      <c r="L135" s="11"/>
      <c r="M135" s="35">
        <f>(L136*12)+G136+I135+J135</f>
        <v>91269.515400000004</v>
      </c>
    </row>
    <row r="136" spans="1:13" ht="13.5" thickBot="1" x14ac:dyDescent="0.25">
      <c r="A136" s="8" t="s">
        <v>113</v>
      </c>
      <c r="B136" s="9" t="s">
        <v>60</v>
      </c>
      <c r="C136" s="9" t="s">
        <v>54</v>
      </c>
      <c r="D136" s="9">
        <v>1</v>
      </c>
      <c r="E136" s="10">
        <f>5503.8*1.03</f>
        <v>5668.9140000000007</v>
      </c>
      <c r="F136" s="34"/>
      <c r="G136" s="10">
        <f>14309.88*1.03</f>
        <v>14739.1764</v>
      </c>
      <c r="H136" s="34"/>
      <c r="I136" s="17"/>
      <c r="J136" s="17"/>
      <c r="K136" s="34"/>
      <c r="L136" s="11">
        <f t="shared" si="2"/>
        <v>5668.9140000000007</v>
      </c>
      <c r="M136" s="36"/>
    </row>
    <row r="137" spans="1:13" ht="13.5" thickBot="1" x14ac:dyDescent="0.25">
      <c r="A137" s="13"/>
      <c r="B137" s="14"/>
      <c r="C137" s="14"/>
      <c r="D137" s="15"/>
      <c r="E137" s="15"/>
      <c r="F137" s="33"/>
      <c r="G137" s="15"/>
      <c r="H137" s="33"/>
      <c r="I137" s="16">
        <f>4251*1.03</f>
        <v>4378.53</v>
      </c>
      <c r="J137" s="16">
        <f>2125.5*1.03</f>
        <v>2189.2649999999999</v>
      </c>
      <c r="K137" s="33"/>
      <c r="L137" s="11"/>
      <c r="M137" s="35">
        <f>(L138*12)+G138+I137+J137</f>
        <v>72113.493000000002</v>
      </c>
    </row>
    <row r="138" spans="1:13" ht="26.25" thickBot="1" x14ac:dyDescent="0.25">
      <c r="A138" s="8" t="s">
        <v>66</v>
      </c>
      <c r="B138" s="9" t="s">
        <v>68</v>
      </c>
      <c r="C138" s="9" t="s">
        <v>54</v>
      </c>
      <c r="D138" s="9">
        <v>1</v>
      </c>
      <c r="E138" s="10">
        <f>4382*1.03</f>
        <v>4513.46</v>
      </c>
      <c r="F138" s="34"/>
      <c r="G138" s="10">
        <f>11052.6*1.03</f>
        <v>11384.178</v>
      </c>
      <c r="H138" s="34"/>
      <c r="I138" s="17"/>
      <c r="J138" s="17"/>
      <c r="K138" s="34"/>
      <c r="L138" s="11">
        <f t="shared" si="2"/>
        <v>4513.46</v>
      </c>
      <c r="M138" s="36"/>
    </row>
    <row r="139" spans="1:13" ht="13.5" thickBot="1" x14ac:dyDescent="0.25">
      <c r="A139" s="33" t="s">
        <v>114</v>
      </c>
      <c r="B139" s="14"/>
      <c r="C139" s="14"/>
      <c r="D139" s="15"/>
      <c r="E139" s="15"/>
      <c r="F139" s="33"/>
      <c r="G139" s="15"/>
      <c r="H139" s="33"/>
      <c r="I139" s="16">
        <f>4251*1.03</f>
        <v>4378.53</v>
      </c>
      <c r="J139" s="16">
        <f>2125.5*1.03</f>
        <v>2189.2649999999999</v>
      </c>
      <c r="K139" s="33"/>
      <c r="L139" s="11"/>
      <c r="M139" s="35">
        <f>(L140*12)+G140+I139+J139</f>
        <v>72113.493000000002</v>
      </c>
    </row>
    <row r="140" spans="1:13" ht="13.5" thickBot="1" x14ac:dyDescent="0.25">
      <c r="A140" s="34"/>
      <c r="B140" s="9" t="s">
        <v>101</v>
      </c>
      <c r="C140" s="9" t="s">
        <v>54</v>
      </c>
      <c r="D140" s="9">
        <v>1</v>
      </c>
      <c r="E140" s="10">
        <f>4382*1.03</f>
        <v>4513.46</v>
      </c>
      <c r="F140" s="34"/>
      <c r="G140" s="10">
        <f>11052.6*1.03</f>
        <v>11384.178</v>
      </c>
      <c r="H140" s="34"/>
      <c r="I140" s="17"/>
      <c r="J140" s="17"/>
      <c r="K140" s="34"/>
      <c r="L140" s="11">
        <f t="shared" si="2"/>
        <v>4513.46</v>
      </c>
      <c r="M140" s="36"/>
    </row>
    <row r="141" spans="1:13" ht="13.5" thickBot="1" x14ac:dyDescent="0.25">
      <c r="A141" s="13"/>
      <c r="B141" s="14"/>
      <c r="C141" s="14"/>
      <c r="D141" s="15"/>
      <c r="E141" s="15"/>
      <c r="F141" s="33"/>
      <c r="G141" s="15"/>
      <c r="H141" s="33"/>
      <c r="I141" s="16">
        <f>4251*1.03</f>
        <v>4378.53</v>
      </c>
      <c r="J141" s="16">
        <f>2125.5*1.03</f>
        <v>2189.2649999999999</v>
      </c>
      <c r="K141" s="33"/>
      <c r="L141" s="11"/>
      <c r="M141" s="35">
        <f>(L142*12)+G142+I141+J141</f>
        <v>72113.493000000002</v>
      </c>
    </row>
    <row r="142" spans="1:13" ht="13.5" thickBot="1" x14ac:dyDescent="0.25">
      <c r="A142" s="8" t="s">
        <v>84</v>
      </c>
      <c r="B142" s="9" t="s">
        <v>68</v>
      </c>
      <c r="C142" s="9" t="s">
        <v>54</v>
      </c>
      <c r="D142" s="9">
        <v>1</v>
      </c>
      <c r="E142" s="10">
        <f>4382*1.03</f>
        <v>4513.46</v>
      </c>
      <c r="F142" s="34"/>
      <c r="G142" s="10">
        <f>11052.6*1.03</f>
        <v>11384.178</v>
      </c>
      <c r="H142" s="34"/>
      <c r="I142" s="17"/>
      <c r="J142" s="17"/>
      <c r="K142" s="34"/>
      <c r="L142" s="11">
        <f t="shared" si="2"/>
        <v>4513.46</v>
      </c>
      <c r="M142" s="36"/>
    </row>
    <row r="143" spans="1:13" ht="13.5" thickBot="1" x14ac:dyDescent="0.25">
      <c r="A143" s="33" t="s">
        <v>115</v>
      </c>
      <c r="B143" s="14"/>
      <c r="C143" s="14"/>
      <c r="D143" s="15"/>
      <c r="E143" s="15"/>
      <c r="F143" s="33"/>
      <c r="G143" s="15"/>
      <c r="H143" s="33"/>
      <c r="I143" s="16">
        <f>7582.5*1.03</f>
        <v>7809.9750000000004</v>
      </c>
      <c r="J143" s="16">
        <f>3791.25*1.03</f>
        <v>3904.9875000000002</v>
      </c>
      <c r="K143" s="33"/>
      <c r="L143" s="11"/>
      <c r="M143" s="35">
        <f>(L144*12)+G144+I143+J143</f>
        <v>125740.59750000002</v>
      </c>
    </row>
    <row r="144" spans="1:13" ht="13.5" thickBot="1" x14ac:dyDescent="0.25">
      <c r="A144" s="34"/>
      <c r="B144" s="9" t="s">
        <v>58</v>
      </c>
      <c r="C144" s="9" t="s">
        <v>54</v>
      </c>
      <c r="D144" s="9">
        <v>1</v>
      </c>
      <c r="E144" s="10">
        <f>7582.5*1.03</f>
        <v>7809.9750000000004</v>
      </c>
      <c r="F144" s="34"/>
      <c r="G144" s="10">
        <f>19714.5*1.03</f>
        <v>20305.935000000001</v>
      </c>
      <c r="H144" s="34"/>
      <c r="I144" s="17"/>
      <c r="J144" s="17"/>
      <c r="K144" s="34"/>
      <c r="L144" s="11">
        <f t="shared" si="2"/>
        <v>7809.9750000000004</v>
      </c>
      <c r="M144" s="36"/>
    </row>
    <row r="145" spans="1:13" ht="13.5" thickBot="1" x14ac:dyDescent="0.25">
      <c r="A145" s="13"/>
      <c r="B145" s="14"/>
      <c r="C145" s="14"/>
      <c r="D145" s="15"/>
      <c r="E145" s="15"/>
      <c r="F145" s="33"/>
      <c r="G145" s="15"/>
      <c r="H145" s="33"/>
      <c r="I145" s="16">
        <f>8502*1.03</f>
        <v>8757.06</v>
      </c>
      <c r="J145" s="16">
        <f>4251*1.03</f>
        <v>4378.53</v>
      </c>
      <c r="K145" s="33"/>
      <c r="L145" s="11"/>
      <c r="M145" s="35">
        <f>(L146*12)+G146+I145+J145</f>
        <v>141307.96600000001</v>
      </c>
    </row>
    <row r="146" spans="1:13" ht="13.5" thickBot="1" x14ac:dyDescent="0.25">
      <c r="A146" s="8" t="s">
        <v>84</v>
      </c>
      <c r="B146" s="9" t="s">
        <v>101</v>
      </c>
      <c r="C146" s="9" t="s">
        <v>54</v>
      </c>
      <c r="D146" s="9">
        <v>2</v>
      </c>
      <c r="E146" s="10">
        <f>8764*1.03</f>
        <v>9026.92</v>
      </c>
      <c r="F146" s="34"/>
      <c r="G146" s="10">
        <f>19271.2*1.03</f>
        <v>19849.336000000003</v>
      </c>
      <c r="H146" s="34"/>
      <c r="I146" s="17"/>
      <c r="J146" s="17"/>
      <c r="K146" s="34"/>
      <c r="L146" s="11">
        <f t="shared" si="2"/>
        <v>9026.92</v>
      </c>
      <c r="M146" s="36"/>
    </row>
    <row r="147" spans="1:13" ht="13.5" thickBot="1" x14ac:dyDescent="0.25">
      <c r="A147" s="33" t="s">
        <v>116</v>
      </c>
      <c r="B147" s="14"/>
      <c r="C147" s="14"/>
      <c r="D147" s="15"/>
      <c r="E147" s="15"/>
      <c r="F147" s="33"/>
      <c r="G147" s="15"/>
      <c r="H147" s="33"/>
      <c r="I147" s="16">
        <f>5563.5*1.03</f>
        <v>5730.4049999999997</v>
      </c>
      <c r="J147" s="16">
        <f>3708.7*1.03</f>
        <v>3819.9609999999998</v>
      </c>
      <c r="K147" s="33"/>
      <c r="L147" s="11"/>
      <c r="M147" s="35">
        <f>(L148*12)+G148+I147+J147</f>
        <v>173044.69680000001</v>
      </c>
    </row>
    <row r="148" spans="1:13" ht="13.5" thickBot="1" x14ac:dyDescent="0.25">
      <c r="A148" s="34"/>
      <c r="B148" s="9" t="s">
        <v>62</v>
      </c>
      <c r="C148" s="9" t="s">
        <v>54</v>
      </c>
      <c r="D148" s="9">
        <v>1</v>
      </c>
      <c r="E148" s="10">
        <f>11126.1*1.03</f>
        <v>11459.883</v>
      </c>
      <c r="F148" s="34"/>
      <c r="G148" s="10">
        <f>25219.16*1.03</f>
        <v>25975.734800000002</v>
      </c>
      <c r="H148" s="34"/>
      <c r="I148" s="17"/>
      <c r="J148" s="17"/>
      <c r="K148" s="34"/>
      <c r="L148" s="11">
        <f t="shared" si="2"/>
        <v>11459.883</v>
      </c>
      <c r="M148" s="36"/>
    </row>
    <row r="149" spans="1:13" ht="13.5" thickBot="1" x14ac:dyDescent="0.25">
      <c r="A149" s="13"/>
      <c r="B149" s="14"/>
      <c r="C149" s="14"/>
      <c r="D149" s="15"/>
      <c r="E149" s="15"/>
      <c r="F149" s="33"/>
      <c r="G149" s="15"/>
      <c r="H149" s="33"/>
      <c r="I149" s="16">
        <f>9292.5*1.03</f>
        <v>9571.2749999999996</v>
      </c>
      <c r="J149" s="16">
        <f>6195*1.03</f>
        <v>6380.85</v>
      </c>
      <c r="K149" s="33"/>
      <c r="L149" s="11"/>
      <c r="M149" s="35">
        <f>(L150*12)+G150+I149+J149</f>
        <v>285862.07999999996</v>
      </c>
    </row>
    <row r="150" spans="1:13" ht="13.5" thickBot="1" x14ac:dyDescent="0.25">
      <c r="A150" s="8" t="s">
        <v>117</v>
      </c>
      <c r="B150" s="9" t="s">
        <v>72</v>
      </c>
      <c r="C150" s="9" t="s">
        <v>54</v>
      </c>
      <c r="D150" s="9">
        <v>2</v>
      </c>
      <c r="E150" s="10">
        <f>18585*1.03</f>
        <v>19142.55</v>
      </c>
      <c r="F150" s="34"/>
      <c r="G150" s="10">
        <f>39028.5*1.03</f>
        <v>40199.355000000003</v>
      </c>
      <c r="H150" s="34"/>
      <c r="I150" s="17"/>
      <c r="J150" s="17"/>
      <c r="K150" s="34"/>
      <c r="L150" s="11">
        <f t="shared" si="2"/>
        <v>19142.55</v>
      </c>
      <c r="M150" s="36"/>
    </row>
    <row r="151" spans="1:13" ht="13.5" thickBot="1" x14ac:dyDescent="0.25">
      <c r="A151" s="13"/>
      <c r="B151" s="14"/>
      <c r="C151" s="14"/>
      <c r="D151" s="15"/>
      <c r="E151" s="15"/>
      <c r="F151" s="33"/>
      <c r="G151" s="15"/>
      <c r="H151" s="33"/>
      <c r="I151" s="16">
        <f>6628.5*1.03</f>
        <v>6827.3550000000005</v>
      </c>
      <c r="J151" s="16">
        <f>4419*1.03</f>
        <v>4551.57</v>
      </c>
      <c r="K151" s="33"/>
      <c r="L151" s="11"/>
      <c r="M151" s="35">
        <f>(L152*12)+G152+I151+J151</f>
        <v>203910.33600000004</v>
      </c>
    </row>
    <row r="152" spans="1:13" ht="13.5" thickBot="1" x14ac:dyDescent="0.25">
      <c r="A152" s="8" t="s">
        <v>118</v>
      </c>
      <c r="B152" s="9" t="s">
        <v>58</v>
      </c>
      <c r="C152" s="9" t="s">
        <v>54</v>
      </c>
      <c r="D152" s="9">
        <v>2</v>
      </c>
      <c r="E152" s="10">
        <f>13257*1.03</f>
        <v>13654.710000000001</v>
      </c>
      <c r="F152" s="34"/>
      <c r="G152" s="10">
        <f>27839.7*1.03</f>
        <v>28674.891000000003</v>
      </c>
      <c r="H152" s="34"/>
      <c r="I152" s="17"/>
      <c r="J152" s="17"/>
      <c r="K152" s="34"/>
      <c r="L152" s="11">
        <f t="shared" si="2"/>
        <v>13654.710000000001</v>
      </c>
      <c r="M152" s="36"/>
    </row>
    <row r="153" spans="1:13" ht="13.5" thickBot="1" x14ac:dyDescent="0.25">
      <c r="A153" s="13"/>
      <c r="B153" s="14"/>
      <c r="C153" s="14"/>
      <c r="D153" s="15"/>
      <c r="E153" s="15"/>
      <c r="F153" s="33"/>
      <c r="G153" s="15"/>
      <c r="H153" s="33"/>
      <c r="I153" s="16">
        <f>40320*1.03</f>
        <v>41529.599999999999</v>
      </c>
      <c r="J153" s="16">
        <f>26880*1.03</f>
        <v>27686.400000000001</v>
      </c>
      <c r="K153" s="33"/>
      <c r="L153" s="11"/>
      <c r="M153" s="35">
        <f>(L154*12)+G154+I153+J153</f>
        <v>1228396.128</v>
      </c>
    </row>
    <row r="154" spans="1:13" ht="13.5" thickBot="1" x14ac:dyDescent="0.25">
      <c r="A154" s="8" t="s">
        <v>119</v>
      </c>
      <c r="B154" s="9" t="s">
        <v>60</v>
      </c>
      <c r="C154" s="9" t="s">
        <v>54</v>
      </c>
      <c r="D154" s="9">
        <v>16</v>
      </c>
      <c r="E154" s="10">
        <f>80876.8*1.03</f>
        <v>83303.104000000007</v>
      </c>
      <c r="F154" s="34"/>
      <c r="G154" s="10">
        <f>154896*1.03</f>
        <v>159542.88</v>
      </c>
      <c r="H154" s="34"/>
      <c r="I154" s="17"/>
      <c r="J154" s="17"/>
      <c r="K154" s="34"/>
      <c r="L154" s="11">
        <f t="shared" si="2"/>
        <v>83303.104000000007</v>
      </c>
      <c r="M154" s="36"/>
    </row>
    <row r="155" spans="1:13" ht="13.5" thickBot="1" x14ac:dyDescent="0.25">
      <c r="A155" s="33" t="s">
        <v>120</v>
      </c>
      <c r="B155" s="14"/>
      <c r="C155" s="14"/>
      <c r="D155" s="15"/>
      <c r="E155" s="15"/>
      <c r="F155" s="33"/>
      <c r="G155" s="15"/>
      <c r="H155" s="33"/>
      <c r="I155" s="16">
        <f>9195*1.03</f>
        <v>9470.85</v>
      </c>
      <c r="J155" s="16">
        <f>4597.5*1.03</f>
        <v>4735.4250000000002</v>
      </c>
      <c r="K155" s="33"/>
      <c r="L155" s="11"/>
      <c r="M155" s="35">
        <f>(L156*12)+G156+I155+J155</f>
        <v>152480.685</v>
      </c>
    </row>
    <row r="156" spans="1:13" ht="13.5" thickBot="1" x14ac:dyDescent="0.25">
      <c r="A156" s="34"/>
      <c r="B156" s="9" t="s">
        <v>72</v>
      </c>
      <c r="C156" s="9" t="s">
        <v>54</v>
      </c>
      <c r="D156" s="9">
        <v>1</v>
      </c>
      <c r="E156" s="10">
        <f>9195*1.03</f>
        <v>9470.85</v>
      </c>
      <c r="F156" s="34"/>
      <c r="G156" s="10">
        <f>23907*1.03</f>
        <v>24624.21</v>
      </c>
      <c r="H156" s="34"/>
      <c r="I156" s="17"/>
      <c r="J156" s="17"/>
      <c r="K156" s="34"/>
      <c r="L156" s="11">
        <f t="shared" si="2"/>
        <v>9470.85</v>
      </c>
      <c r="M156" s="36"/>
    </row>
    <row r="157" spans="1:13" ht="13.5" thickBot="1" x14ac:dyDescent="0.25">
      <c r="A157" s="13"/>
      <c r="B157" s="14"/>
      <c r="C157" s="14"/>
      <c r="D157" s="15"/>
      <c r="E157" s="15"/>
      <c r="F157" s="33"/>
      <c r="G157" s="15"/>
      <c r="H157" s="33"/>
      <c r="I157" s="16">
        <f>8502*1.03</f>
        <v>8757.06</v>
      </c>
      <c r="J157" s="16">
        <f>4251*1.03</f>
        <v>4378.53</v>
      </c>
      <c r="K157" s="33"/>
      <c r="L157" s="11"/>
      <c r="M157" s="35">
        <f>(L158*12)+G158+I157+J157</f>
        <v>141307.96600000001</v>
      </c>
    </row>
    <row r="158" spans="1:13" ht="13.5" thickBot="1" x14ac:dyDescent="0.25">
      <c r="A158" s="8" t="s">
        <v>121</v>
      </c>
      <c r="B158" s="9" t="s">
        <v>68</v>
      </c>
      <c r="C158" s="9" t="s">
        <v>54</v>
      </c>
      <c r="D158" s="9">
        <v>2</v>
      </c>
      <c r="E158" s="10">
        <f>8764*1.03</f>
        <v>9026.92</v>
      </c>
      <c r="F158" s="34"/>
      <c r="G158" s="10">
        <f>19271.2*1.03</f>
        <v>19849.336000000003</v>
      </c>
      <c r="H158" s="34"/>
      <c r="I158" s="17"/>
      <c r="J158" s="17"/>
      <c r="K158" s="34"/>
      <c r="L158" s="11">
        <f t="shared" si="2"/>
        <v>9026.92</v>
      </c>
      <c r="M158" s="36"/>
    </row>
    <row r="159" spans="1:13" ht="13.5" thickBot="1" x14ac:dyDescent="0.25">
      <c r="A159" s="33" t="s">
        <v>122</v>
      </c>
      <c r="B159" s="14"/>
      <c r="C159" s="14"/>
      <c r="D159" s="15"/>
      <c r="E159" s="15"/>
      <c r="F159" s="33"/>
      <c r="G159" s="15"/>
      <c r="H159" s="33"/>
      <c r="I159" s="16">
        <f>4272*1.03</f>
        <v>4400.16</v>
      </c>
      <c r="J159" s="16">
        <f>2136*1.03</f>
        <v>2200.08</v>
      </c>
      <c r="K159" s="33"/>
      <c r="L159" s="11"/>
      <c r="M159" s="35">
        <f>(L160*12)+G160+I159+J159</f>
        <v>72442.454400000002</v>
      </c>
    </row>
    <row r="160" spans="1:13" ht="13.5" thickBot="1" x14ac:dyDescent="0.25">
      <c r="A160" s="34"/>
      <c r="B160" s="9" t="s">
        <v>101</v>
      </c>
      <c r="C160" s="9" t="s">
        <v>54</v>
      </c>
      <c r="D160" s="9">
        <v>1</v>
      </c>
      <c r="E160" s="10">
        <f>4401.44*1.03</f>
        <v>4533.4831999999997</v>
      </c>
      <c r="F160" s="34"/>
      <c r="G160" s="10">
        <f>11107.2*1.03</f>
        <v>11440.416000000001</v>
      </c>
      <c r="H160" s="34"/>
      <c r="I160" s="17"/>
      <c r="J160" s="17"/>
      <c r="K160" s="34"/>
      <c r="L160" s="11">
        <f t="shared" si="2"/>
        <v>4533.4831999999997</v>
      </c>
      <c r="M160" s="36"/>
    </row>
    <row r="161" spans="1:13" ht="13.5" thickBot="1" x14ac:dyDescent="0.25">
      <c r="A161" s="13"/>
      <c r="B161" s="14"/>
      <c r="C161" s="14"/>
      <c r="D161" s="15"/>
      <c r="E161" s="15"/>
      <c r="F161" s="33"/>
      <c r="G161" s="15"/>
      <c r="H161" s="33"/>
      <c r="I161" s="16">
        <f>4251*1.03</f>
        <v>4378.53</v>
      </c>
      <c r="J161" s="16">
        <f>2125.5*1.03</f>
        <v>2189.2649999999999</v>
      </c>
      <c r="K161" s="33"/>
      <c r="L161" s="11"/>
      <c r="M161" s="35">
        <f>(L162*12)+G162+I161+J161</f>
        <v>72113.493000000002</v>
      </c>
    </row>
    <row r="162" spans="1:13" ht="26.25" thickBot="1" x14ac:dyDescent="0.25">
      <c r="A162" s="8" t="s">
        <v>123</v>
      </c>
      <c r="B162" s="9" t="s">
        <v>68</v>
      </c>
      <c r="C162" s="9" t="s">
        <v>54</v>
      </c>
      <c r="D162" s="9">
        <v>1</v>
      </c>
      <c r="E162" s="10">
        <f>4382*1.03</f>
        <v>4513.46</v>
      </c>
      <c r="F162" s="34"/>
      <c r="G162" s="10">
        <f>11052.6*1.03</f>
        <v>11384.178</v>
      </c>
      <c r="H162" s="34"/>
      <c r="I162" s="17"/>
      <c r="J162" s="17"/>
      <c r="K162" s="34"/>
      <c r="L162" s="11">
        <f t="shared" si="2"/>
        <v>4513.46</v>
      </c>
      <c r="M162" s="36"/>
    </row>
    <row r="163" spans="1:13" ht="13.5" thickBot="1" x14ac:dyDescent="0.25">
      <c r="A163" s="13"/>
      <c r="B163" s="14"/>
      <c r="C163" s="14"/>
      <c r="D163" s="15"/>
      <c r="E163" s="15"/>
      <c r="F163" s="33"/>
      <c r="G163" s="15"/>
      <c r="H163" s="33"/>
      <c r="I163" s="16">
        <f>4251*1.03</f>
        <v>4378.53</v>
      </c>
      <c r="J163" s="16">
        <f>2125.5*1.03</f>
        <v>2189.2649999999999</v>
      </c>
      <c r="K163" s="33"/>
      <c r="L163" s="11"/>
      <c r="M163" s="35">
        <f>(L164*12)+G164+I163+J163</f>
        <v>72113.493000000002</v>
      </c>
    </row>
    <row r="164" spans="1:13" ht="26.25" thickBot="1" x14ac:dyDescent="0.25">
      <c r="A164" s="8" t="s">
        <v>124</v>
      </c>
      <c r="B164" s="9" t="s">
        <v>68</v>
      </c>
      <c r="C164" s="9" t="s">
        <v>54</v>
      </c>
      <c r="D164" s="9">
        <v>1</v>
      </c>
      <c r="E164" s="10">
        <f>4382*1.03</f>
        <v>4513.46</v>
      </c>
      <c r="F164" s="34"/>
      <c r="G164" s="10">
        <f>11052.6*1.03</f>
        <v>11384.178</v>
      </c>
      <c r="H164" s="34"/>
      <c r="I164" s="17"/>
      <c r="J164" s="17"/>
      <c r="K164" s="34"/>
      <c r="L164" s="11">
        <f t="shared" si="2"/>
        <v>4513.46</v>
      </c>
      <c r="M164" s="36"/>
    </row>
    <row r="165" spans="1:13" ht="13.5" thickBot="1" x14ac:dyDescent="0.25">
      <c r="A165" s="33" t="s">
        <v>125</v>
      </c>
      <c r="B165" s="14"/>
      <c r="C165" s="14"/>
      <c r="D165" s="15"/>
      <c r="E165" s="15"/>
      <c r="F165" s="33"/>
      <c r="G165" s="15"/>
      <c r="H165" s="33"/>
      <c r="I165" s="16">
        <f>8255.4*1.03</f>
        <v>8503.0619999999999</v>
      </c>
      <c r="J165" s="16">
        <f>4127.7*1.03</f>
        <v>4251.5309999999999</v>
      </c>
      <c r="K165" s="33"/>
      <c r="L165" s="11"/>
      <c r="M165" s="35">
        <f>(L166*12)+G166+I165+J165</f>
        <v>136899.29819999999</v>
      </c>
    </row>
    <row r="166" spans="1:13" ht="13.5" thickBot="1" x14ac:dyDescent="0.25">
      <c r="A166" s="34"/>
      <c r="B166" s="9" t="s">
        <v>58</v>
      </c>
      <c r="C166" s="9" t="s">
        <v>54</v>
      </c>
      <c r="D166" s="9">
        <v>1</v>
      </c>
      <c r="E166" s="10">
        <f>8255.4*1.03</f>
        <v>8503.0619999999999</v>
      </c>
      <c r="F166" s="34"/>
      <c r="G166" s="10">
        <f>21464.04*1.03</f>
        <v>22107.961200000002</v>
      </c>
      <c r="H166" s="34"/>
      <c r="I166" s="17"/>
      <c r="J166" s="17"/>
      <c r="K166" s="34"/>
      <c r="L166" s="11">
        <f t="shared" si="2"/>
        <v>8503.0619999999999</v>
      </c>
      <c r="M166" s="36"/>
    </row>
    <row r="167" spans="1:13" ht="13.5" thickBot="1" x14ac:dyDescent="0.25">
      <c r="A167" s="13"/>
      <c r="B167" s="14"/>
      <c r="C167" s="14"/>
      <c r="D167" s="15"/>
      <c r="E167" s="15"/>
      <c r="F167" s="33"/>
      <c r="G167" s="15"/>
      <c r="H167" s="33"/>
      <c r="I167" s="16">
        <f>7582.5*1.03</f>
        <v>7809.9750000000004</v>
      </c>
      <c r="J167" s="16">
        <f>3791.25*1.03</f>
        <v>3904.9875000000002</v>
      </c>
      <c r="K167" s="33"/>
      <c r="L167" s="11"/>
      <c r="M167" s="35">
        <f>(L168*12)+G168+I167+J167</f>
        <v>125740.59750000002</v>
      </c>
    </row>
    <row r="168" spans="1:13" ht="26.25" thickBot="1" x14ac:dyDescent="0.25">
      <c r="A168" s="8" t="s">
        <v>66</v>
      </c>
      <c r="B168" s="9" t="s">
        <v>58</v>
      </c>
      <c r="C168" s="9" t="s">
        <v>54</v>
      </c>
      <c r="D168" s="9">
        <v>1</v>
      </c>
      <c r="E168" s="10">
        <f>7582.5*1.03</f>
        <v>7809.9750000000004</v>
      </c>
      <c r="F168" s="34"/>
      <c r="G168" s="10">
        <f>19714.5*1.03</f>
        <v>20305.935000000001</v>
      </c>
      <c r="H168" s="34"/>
      <c r="I168" s="17"/>
      <c r="J168" s="17"/>
      <c r="K168" s="34"/>
      <c r="L168" s="11">
        <f t="shared" si="2"/>
        <v>7809.9750000000004</v>
      </c>
      <c r="M168" s="36"/>
    </row>
    <row r="169" spans="1:13" ht="13.5" thickBot="1" x14ac:dyDescent="0.25">
      <c r="A169" s="41" t="s">
        <v>126</v>
      </c>
      <c r="B169" s="42"/>
      <c r="C169" s="42"/>
      <c r="D169" s="43"/>
      <c r="E169" s="44">
        <f>14907*1.03</f>
        <v>15354.210000000001</v>
      </c>
      <c r="F169" s="33"/>
      <c r="G169" s="15"/>
      <c r="H169" s="33"/>
      <c r="I169" s="16">
        <f>14907*1.03</f>
        <v>15354.210000000001</v>
      </c>
      <c r="J169" s="16">
        <f>7453.5*1.03</f>
        <v>7677.1050000000005</v>
      </c>
      <c r="K169" s="33"/>
      <c r="L169" s="11"/>
      <c r="M169" s="35">
        <f>(L170*12)+G170+I169+J169</f>
        <v>247202.78100000002</v>
      </c>
    </row>
    <row r="170" spans="1:13" ht="13.5" thickBot="1" x14ac:dyDescent="0.25">
      <c r="A170" s="45"/>
      <c r="B170" s="20" t="s">
        <v>72</v>
      </c>
      <c r="C170" s="20" t="s">
        <v>54</v>
      </c>
      <c r="D170" s="20">
        <v>1</v>
      </c>
      <c r="E170" s="46"/>
      <c r="F170" s="34"/>
      <c r="G170" s="10">
        <f>38758.2*1.03</f>
        <v>39920.945999999996</v>
      </c>
      <c r="H170" s="34"/>
      <c r="I170" s="17"/>
      <c r="J170" s="17"/>
      <c r="K170" s="34"/>
      <c r="L170" s="11">
        <f>E169</f>
        <v>15354.210000000001</v>
      </c>
      <c r="M170" s="36"/>
    </row>
    <row r="171" spans="1:13" ht="13.5" thickBot="1" x14ac:dyDescent="0.25">
      <c r="A171" s="13"/>
      <c r="B171" s="14"/>
      <c r="C171" s="14"/>
      <c r="D171" s="15"/>
      <c r="E171" s="15"/>
      <c r="F171" s="33"/>
      <c r="G171" s="15"/>
      <c r="H171" s="33"/>
      <c r="I171" s="16">
        <f>8502*1.03</f>
        <v>8757.06</v>
      </c>
      <c r="J171" s="16">
        <f>4251*1.03</f>
        <v>4378.53</v>
      </c>
      <c r="K171" s="33"/>
      <c r="L171" s="11"/>
      <c r="M171" s="35">
        <f>(L172*12)+G172+I171+J171</f>
        <v>141307.96600000001</v>
      </c>
    </row>
    <row r="172" spans="1:13" ht="13.5" thickBot="1" x14ac:dyDescent="0.25">
      <c r="A172" s="8" t="s">
        <v>127</v>
      </c>
      <c r="B172" s="9" t="s">
        <v>68</v>
      </c>
      <c r="C172" s="9" t="s">
        <v>54</v>
      </c>
      <c r="D172" s="9">
        <v>2</v>
      </c>
      <c r="E172" s="10">
        <f>8764*1.03</f>
        <v>9026.92</v>
      </c>
      <c r="F172" s="34"/>
      <c r="G172" s="10">
        <f>19271.2*1.03</f>
        <v>19849.336000000003</v>
      </c>
      <c r="H172" s="34"/>
      <c r="I172" s="17"/>
      <c r="J172" s="17"/>
      <c r="K172" s="34"/>
      <c r="L172" s="11">
        <f t="shared" si="2"/>
        <v>9026.92</v>
      </c>
      <c r="M172" s="36"/>
    </row>
    <row r="173" spans="1:13" ht="13.5" thickBot="1" x14ac:dyDescent="0.25">
      <c r="A173" s="33" t="s">
        <v>128</v>
      </c>
      <c r="B173" s="14"/>
      <c r="C173" s="14"/>
      <c r="D173" s="15"/>
      <c r="E173" s="15"/>
      <c r="F173" s="33"/>
      <c r="G173" s="15"/>
      <c r="H173" s="33"/>
      <c r="I173" s="16">
        <f>6180*1.03</f>
        <v>6365.4000000000005</v>
      </c>
      <c r="J173" s="16">
        <f>3090*1.03</f>
        <v>3182.7000000000003</v>
      </c>
      <c r="K173" s="33"/>
      <c r="L173" s="11"/>
      <c r="M173" s="35">
        <f>(L174*12)+G174+I173+J173</f>
        <v>102482.93999999999</v>
      </c>
    </row>
    <row r="174" spans="1:13" ht="13.5" thickBot="1" x14ac:dyDescent="0.25">
      <c r="A174" s="34"/>
      <c r="B174" s="9" t="s">
        <v>58</v>
      </c>
      <c r="C174" s="9" t="s">
        <v>54</v>
      </c>
      <c r="D174" s="9">
        <v>1</v>
      </c>
      <c r="E174" s="10">
        <f>6180*1.03</f>
        <v>6365.4000000000005</v>
      </c>
      <c r="F174" s="34"/>
      <c r="G174" s="10">
        <f>16068*1.03</f>
        <v>16550.04</v>
      </c>
      <c r="H174" s="34"/>
      <c r="I174" s="17"/>
      <c r="J174" s="17"/>
      <c r="K174" s="34"/>
      <c r="L174" s="11">
        <f t="shared" si="2"/>
        <v>6365.4000000000005</v>
      </c>
      <c r="M174" s="36"/>
    </row>
    <row r="175" spans="1:13" ht="13.5" thickBot="1" x14ac:dyDescent="0.25">
      <c r="A175" s="13"/>
      <c r="B175" s="14"/>
      <c r="C175" s="14"/>
      <c r="D175" s="15"/>
      <c r="E175" s="15"/>
      <c r="F175" s="33"/>
      <c r="G175" s="15"/>
      <c r="H175" s="33"/>
      <c r="I175" s="16">
        <f>8502*1.03</f>
        <v>8757.06</v>
      </c>
      <c r="J175" s="16">
        <f>4251*1.03</f>
        <v>4378.53</v>
      </c>
      <c r="K175" s="33"/>
      <c r="L175" s="11"/>
      <c r="M175" s="35">
        <f>(L176*12)+G176+I175+J175</f>
        <v>141307.96600000001</v>
      </c>
    </row>
    <row r="176" spans="1:13" ht="13.5" thickBot="1" x14ac:dyDescent="0.25">
      <c r="A176" s="8" t="s">
        <v>129</v>
      </c>
      <c r="B176" s="9" t="s">
        <v>101</v>
      </c>
      <c r="C176" s="9" t="s">
        <v>54</v>
      </c>
      <c r="D176" s="9">
        <v>2</v>
      </c>
      <c r="E176" s="10">
        <f>8764*1.03</f>
        <v>9026.92</v>
      </c>
      <c r="F176" s="34"/>
      <c r="G176" s="10">
        <f>19271.2*1.03</f>
        <v>19849.336000000003</v>
      </c>
      <c r="H176" s="34"/>
      <c r="I176" s="17"/>
      <c r="J176" s="17"/>
      <c r="K176" s="34"/>
      <c r="L176" s="11">
        <f t="shared" si="2"/>
        <v>9026.92</v>
      </c>
      <c r="M176" s="36"/>
    </row>
    <row r="177" spans="1:13" ht="13.5" thickBot="1" x14ac:dyDescent="0.25">
      <c r="A177" s="13"/>
      <c r="B177" s="14"/>
      <c r="C177" s="14"/>
      <c r="D177" s="15"/>
      <c r="E177" s="15"/>
      <c r="F177" s="33"/>
      <c r="G177" s="15"/>
      <c r="H177" s="33"/>
      <c r="I177" s="16">
        <f>20160*1.03</f>
        <v>20764.8</v>
      </c>
      <c r="J177" s="16">
        <f>10080*1.03</f>
        <v>10382.4</v>
      </c>
      <c r="K177" s="33"/>
      <c r="L177" s="11"/>
      <c r="M177" s="35">
        <f>(L178*12)+G178+I177+J177</f>
        <v>323278.27200000006</v>
      </c>
    </row>
    <row r="178" spans="1:13" ht="13.5" thickBot="1" x14ac:dyDescent="0.25">
      <c r="A178" s="8" t="s">
        <v>130</v>
      </c>
      <c r="B178" s="9" t="s">
        <v>60</v>
      </c>
      <c r="C178" s="9" t="s">
        <v>54</v>
      </c>
      <c r="D178" s="9">
        <v>4</v>
      </c>
      <c r="E178" s="10">
        <f>20219.2*1.03</f>
        <v>20825.776000000002</v>
      </c>
      <c r="F178" s="34"/>
      <c r="G178" s="10">
        <f>40992*1.03</f>
        <v>42221.760000000002</v>
      </c>
      <c r="H178" s="34"/>
      <c r="I178" s="17"/>
      <c r="J178" s="17"/>
      <c r="K178" s="34"/>
      <c r="L178" s="11">
        <f t="shared" si="2"/>
        <v>20825.776000000002</v>
      </c>
      <c r="M178" s="36"/>
    </row>
    <row r="179" spans="1:13" ht="13.5" thickBot="1" x14ac:dyDescent="0.25">
      <c r="A179" s="13"/>
      <c r="B179" s="14"/>
      <c r="C179" s="14"/>
      <c r="D179" s="15"/>
      <c r="E179" s="15"/>
      <c r="F179" s="33"/>
      <c r="G179" s="15"/>
      <c r="H179" s="33"/>
      <c r="I179" s="16">
        <f>9957*1.03</f>
        <v>10255.710000000001</v>
      </c>
      <c r="J179" s="16">
        <f>4978.5*1.03</f>
        <v>5127.8550000000005</v>
      </c>
      <c r="K179" s="33"/>
      <c r="L179" s="11"/>
      <c r="M179" s="35">
        <f>(L180*12)+G180+I179+J179</f>
        <v>162229.84100000001</v>
      </c>
    </row>
    <row r="180" spans="1:13" ht="26.25" thickBot="1" x14ac:dyDescent="0.25">
      <c r="A180" s="8" t="s">
        <v>131</v>
      </c>
      <c r="B180" s="9" t="s">
        <v>60</v>
      </c>
      <c r="C180" s="9" t="s">
        <v>54</v>
      </c>
      <c r="D180" s="9">
        <v>2</v>
      </c>
      <c r="E180" s="10">
        <f>10000*1.03</f>
        <v>10300</v>
      </c>
      <c r="F180" s="34"/>
      <c r="G180" s="10">
        <f>22569.2*1.03</f>
        <v>23246.276000000002</v>
      </c>
      <c r="H180" s="34"/>
      <c r="I180" s="17"/>
      <c r="J180" s="17"/>
      <c r="K180" s="34"/>
      <c r="L180" s="11">
        <f t="shared" si="2"/>
        <v>10300</v>
      </c>
      <c r="M180" s="36"/>
    </row>
    <row r="181" spans="1:13" ht="13.5" thickBot="1" x14ac:dyDescent="0.25">
      <c r="A181" s="33" t="s">
        <v>132</v>
      </c>
      <c r="B181" s="14"/>
      <c r="C181" s="14"/>
      <c r="D181" s="15"/>
      <c r="E181" s="15"/>
      <c r="F181" s="33"/>
      <c r="G181" s="15"/>
      <c r="H181" s="33"/>
      <c r="I181" s="16">
        <f>5205*1.03</f>
        <v>5361.1500000000005</v>
      </c>
      <c r="J181" s="16">
        <f>2602.5*1.03</f>
        <v>2680.5750000000003</v>
      </c>
      <c r="K181" s="33"/>
      <c r="L181" s="11"/>
      <c r="M181" s="35">
        <f>(L182*12)+G182+I181+J181</f>
        <v>86314.514999999999</v>
      </c>
    </row>
    <row r="182" spans="1:13" ht="13.5" thickBot="1" x14ac:dyDescent="0.25">
      <c r="A182" s="34"/>
      <c r="B182" s="9" t="s">
        <v>60</v>
      </c>
      <c r="C182" s="9" t="s">
        <v>54</v>
      </c>
      <c r="D182" s="9">
        <v>1</v>
      </c>
      <c r="E182" s="10">
        <f>5205*1.03</f>
        <v>5361.1500000000005</v>
      </c>
      <c r="F182" s="34"/>
      <c r="G182" s="10">
        <f>13533*1.03</f>
        <v>13938.99</v>
      </c>
      <c r="H182" s="34"/>
      <c r="I182" s="17"/>
      <c r="J182" s="17"/>
      <c r="K182" s="34"/>
      <c r="L182" s="11">
        <f t="shared" si="2"/>
        <v>5361.1500000000005</v>
      </c>
      <c r="M182" s="36"/>
    </row>
    <row r="183" spans="1:13" ht="13.5" thickBot="1" x14ac:dyDescent="0.25">
      <c r="A183" s="33" t="s">
        <v>88</v>
      </c>
      <c r="B183" s="14"/>
      <c r="C183" s="14"/>
      <c r="D183" s="15"/>
      <c r="E183" s="15"/>
      <c r="F183" s="33"/>
      <c r="G183" s="15"/>
      <c r="H183" s="33"/>
      <c r="I183" s="16">
        <f>4251*1.03</f>
        <v>4378.53</v>
      </c>
      <c r="J183" s="16">
        <f>2125.5*1.03</f>
        <v>2189.2649999999999</v>
      </c>
      <c r="K183" s="33"/>
      <c r="L183" s="11"/>
      <c r="M183" s="35">
        <f>(L184*12)+G184+I183+J183</f>
        <v>72113.493000000002</v>
      </c>
    </row>
    <row r="184" spans="1:13" ht="13.5" thickBot="1" x14ac:dyDescent="0.25">
      <c r="A184" s="34"/>
      <c r="B184" s="9" t="s">
        <v>91</v>
      </c>
      <c r="C184" s="9" t="s">
        <v>54</v>
      </c>
      <c r="D184" s="9">
        <v>1</v>
      </c>
      <c r="E184" s="10">
        <f>4382*1.03</f>
        <v>4513.46</v>
      </c>
      <c r="F184" s="34"/>
      <c r="G184" s="10">
        <f>11052.6*1.03</f>
        <v>11384.178</v>
      </c>
      <c r="H184" s="34"/>
      <c r="I184" s="17"/>
      <c r="J184" s="17"/>
      <c r="K184" s="34"/>
      <c r="L184" s="11">
        <f t="shared" si="2"/>
        <v>4513.46</v>
      </c>
      <c r="M184" s="36"/>
    </row>
    <row r="185" spans="1:13" ht="13.5" thickBot="1" x14ac:dyDescent="0.25">
      <c r="A185" s="33" t="s">
        <v>133</v>
      </c>
      <c r="B185" s="14"/>
      <c r="C185" s="14"/>
      <c r="D185" s="15"/>
      <c r="E185" s="15"/>
      <c r="F185" s="33"/>
      <c r="G185" s="15"/>
      <c r="H185" s="33"/>
      <c r="I185" s="16">
        <f>8190*1.03</f>
        <v>8435.7000000000007</v>
      </c>
      <c r="J185" s="16">
        <f>4095*1.03</f>
        <v>4217.8500000000004</v>
      </c>
      <c r="K185" s="33"/>
      <c r="L185" s="11"/>
      <c r="M185" s="35">
        <f>(L186*12)+G186+I185+J185</f>
        <v>135814.77000000002</v>
      </c>
    </row>
    <row r="186" spans="1:13" ht="13.5" thickBot="1" x14ac:dyDescent="0.25">
      <c r="A186" s="34"/>
      <c r="B186" s="9" t="s">
        <v>58</v>
      </c>
      <c r="C186" s="9" t="s">
        <v>54</v>
      </c>
      <c r="D186" s="9">
        <v>1</v>
      </c>
      <c r="E186" s="10">
        <f>8190*1.03</f>
        <v>8435.7000000000007</v>
      </c>
      <c r="F186" s="34"/>
      <c r="G186" s="10">
        <f>21294*1.03</f>
        <v>21932.82</v>
      </c>
      <c r="H186" s="34"/>
      <c r="I186" s="17"/>
      <c r="J186" s="17"/>
      <c r="K186" s="34"/>
      <c r="L186" s="11">
        <f t="shared" si="2"/>
        <v>8435.7000000000007</v>
      </c>
      <c r="M186" s="36"/>
    </row>
    <row r="187" spans="1:13" ht="13.5" thickBot="1" x14ac:dyDescent="0.25">
      <c r="A187" s="33" t="s">
        <v>88</v>
      </c>
      <c r="B187" s="14"/>
      <c r="C187" s="14"/>
      <c r="D187" s="15"/>
      <c r="E187" s="15"/>
      <c r="F187" s="33"/>
      <c r="G187" s="15"/>
      <c r="H187" s="33"/>
      <c r="I187" s="16">
        <f>4758.3*1.03</f>
        <v>4901.049</v>
      </c>
      <c r="J187" s="16">
        <f>2379.15*1.03</f>
        <v>2450.5245</v>
      </c>
      <c r="K187" s="33"/>
      <c r="L187" s="11"/>
      <c r="M187" s="35">
        <f>(L188*12)+G188+I187+J187</f>
        <v>79422.300900000002</v>
      </c>
    </row>
    <row r="188" spans="1:13" ht="13.5" thickBot="1" x14ac:dyDescent="0.25">
      <c r="A188" s="34"/>
      <c r="B188" s="9" t="s">
        <v>60</v>
      </c>
      <c r="C188" s="9" t="s">
        <v>54</v>
      </c>
      <c r="D188" s="9">
        <v>1</v>
      </c>
      <c r="E188" s="10">
        <f>4800*1.03</f>
        <v>4944</v>
      </c>
      <c r="F188" s="34"/>
      <c r="G188" s="10">
        <f>12371.58*1.03</f>
        <v>12742.7274</v>
      </c>
      <c r="H188" s="34"/>
      <c r="I188" s="17"/>
      <c r="J188" s="17"/>
      <c r="K188" s="34"/>
      <c r="L188" s="11">
        <f t="shared" si="2"/>
        <v>4944</v>
      </c>
      <c r="M188" s="36"/>
    </row>
    <row r="189" spans="1:13" ht="13.5" thickBot="1" x14ac:dyDescent="0.25">
      <c r="A189" s="33" t="s">
        <v>134</v>
      </c>
      <c r="B189" s="14"/>
      <c r="C189" s="14"/>
      <c r="D189" s="15"/>
      <c r="E189" s="15"/>
      <c r="F189" s="33"/>
      <c r="G189" s="15"/>
      <c r="H189" s="33"/>
      <c r="I189" s="16">
        <f>5685*1.03</f>
        <v>5855.55</v>
      </c>
      <c r="J189" s="16">
        <f>2842.5*1.03</f>
        <v>2927.7750000000001</v>
      </c>
      <c r="K189" s="33"/>
      <c r="L189" s="11"/>
      <c r="M189" s="35">
        <f>(L190*12)+G190+I189+J189</f>
        <v>94274.354999999996</v>
      </c>
    </row>
    <row r="190" spans="1:13" ht="13.5" thickBot="1" x14ac:dyDescent="0.25">
      <c r="A190" s="34"/>
      <c r="B190" s="9" t="s">
        <v>60</v>
      </c>
      <c r="C190" s="9" t="s">
        <v>54</v>
      </c>
      <c r="D190" s="9">
        <v>1</v>
      </c>
      <c r="E190" s="10">
        <f>5685*1.03</f>
        <v>5855.55</v>
      </c>
      <c r="F190" s="34"/>
      <c r="G190" s="10">
        <f>14781*1.03</f>
        <v>15224.43</v>
      </c>
      <c r="H190" s="34"/>
      <c r="I190" s="17"/>
      <c r="J190" s="17"/>
      <c r="K190" s="34"/>
      <c r="L190" s="11">
        <f t="shared" si="2"/>
        <v>5855.55</v>
      </c>
      <c r="M190" s="36"/>
    </row>
    <row r="191" spans="1:13" ht="13.5" thickBot="1" x14ac:dyDescent="0.25">
      <c r="A191" s="33" t="s">
        <v>107</v>
      </c>
      <c r="B191" s="14"/>
      <c r="C191" s="14"/>
      <c r="D191" s="15"/>
      <c r="E191" s="15"/>
      <c r="F191" s="33"/>
      <c r="G191" s="15"/>
      <c r="H191" s="33"/>
      <c r="I191" s="16">
        <f>4251*1.03</f>
        <v>4378.53</v>
      </c>
      <c r="J191" s="16">
        <f>2125.5*1.03</f>
        <v>2189.2649999999999</v>
      </c>
      <c r="K191" s="33"/>
      <c r="L191" s="11"/>
      <c r="M191" s="35">
        <f>(L192*12)+G192+I191+J191</f>
        <v>72113.493000000002</v>
      </c>
    </row>
    <row r="192" spans="1:13" ht="13.5" thickBot="1" x14ac:dyDescent="0.25">
      <c r="A192" s="34"/>
      <c r="B192" s="9" t="s">
        <v>68</v>
      </c>
      <c r="C192" s="9" t="s">
        <v>54</v>
      </c>
      <c r="D192" s="9">
        <v>1</v>
      </c>
      <c r="E192" s="10">
        <f>4382*1.03</f>
        <v>4513.46</v>
      </c>
      <c r="F192" s="34"/>
      <c r="G192" s="10">
        <f>11052.6*1.03</f>
        <v>11384.178</v>
      </c>
      <c r="H192" s="34"/>
      <c r="I192" s="17"/>
      <c r="J192" s="17"/>
      <c r="K192" s="34"/>
      <c r="L192" s="11">
        <f t="shared" si="2"/>
        <v>4513.46</v>
      </c>
      <c r="M192" s="36"/>
    </row>
    <row r="193" spans="1:13" ht="13.5" thickBot="1" x14ac:dyDescent="0.25">
      <c r="A193" s="33" t="s">
        <v>135</v>
      </c>
      <c r="B193" s="14"/>
      <c r="C193" s="14"/>
      <c r="D193" s="15"/>
      <c r="E193" s="15"/>
      <c r="F193" s="33"/>
      <c r="G193" s="15"/>
      <c r="H193" s="33"/>
      <c r="I193" s="16">
        <f>8190*1.03</f>
        <v>8435.7000000000007</v>
      </c>
      <c r="J193" s="16">
        <f>4095*1.03</f>
        <v>4217.8500000000004</v>
      </c>
      <c r="K193" s="33"/>
      <c r="L193" s="11"/>
      <c r="M193" s="35">
        <f>(L194*12)+G194+I193+J193</f>
        <v>135814.77000000002</v>
      </c>
    </row>
    <row r="194" spans="1:13" ht="13.5" thickBot="1" x14ac:dyDescent="0.25">
      <c r="A194" s="34"/>
      <c r="B194" s="9" t="s">
        <v>58</v>
      </c>
      <c r="C194" s="9" t="s">
        <v>54</v>
      </c>
      <c r="D194" s="9">
        <v>1</v>
      </c>
      <c r="E194" s="10">
        <f>8190*1.03</f>
        <v>8435.7000000000007</v>
      </c>
      <c r="F194" s="34"/>
      <c r="G194" s="10">
        <f>21294*1.03</f>
        <v>21932.82</v>
      </c>
      <c r="H194" s="34"/>
      <c r="I194" s="17"/>
      <c r="J194" s="17"/>
      <c r="K194" s="34"/>
      <c r="L194" s="11">
        <f t="shared" si="2"/>
        <v>8435.7000000000007</v>
      </c>
      <c r="M194" s="36"/>
    </row>
    <row r="195" spans="1:13" ht="13.5" thickBot="1" x14ac:dyDescent="0.25">
      <c r="A195" s="13"/>
      <c r="B195" s="14"/>
      <c r="C195" s="14"/>
      <c r="D195" s="15"/>
      <c r="E195" s="15"/>
      <c r="F195" s="33"/>
      <c r="G195" s="15"/>
      <c r="H195" s="33"/>
      <c r="I195" s="16">
        <f>6180*1.03</f>
        <v>6365.4000000000005</v>
      </c>
      <c r="J195" s="16">
        <f>3090*1.03</f>
        <v>3182.7000000000003</v>
      </c>
      <c r="K195" s="33"/>
      <c r="L195" s="11"/>
      <c r="M195" s="35">
        <f>(L196*12)+G196+I195+J195</f>
        <v>102482.93999999999</v>
      </c>
    </row>
    <row r="196" spans="1:13" ht="13.5" thickBot="1" x14ac:dyDescent="0.25">
      <c r="A196" s="8" t="s">
        <v>136</v>
      </c>
      <c r="B196" s="9" t="s">
        <v>58</v>
      </c>
      <c r="C196" s="9" t="s">
        <v>54</v>
      </c>
      <c r="D196" s="9">
        <v>1</v>
      </c>
      <c r="E196" s="10">
        <f>6180*1.03</f>
        <v>6365.4000000000005</v>
      </c>
      <c r="F196" s="34"/>
      <c r="G196" s="10">
        <f>16068*1.03</f>
        <v>16550.04</v>
      </c>
      <c r="H196" s="34"/>
      <c r="I196" s="17"/>
      <c r="J196" s="17"/>
      <c r="K196" s="34"/>
      <c r="L196" s="11">
        <f t="shared" si="2"/>
        <v>6365.4000000000005</v>
      </c>
      <c r="M196" s="36"/>
    </row>
    <row r="197" spans="1:13" ht="13.5" thickBot="1" x14ac:dyDescent="0.25">
      <c r="A197" s="13"/>
      <c r="B197" s="14"/>
      <c r="C197" s="14"/>
      <c r="D197" s="15"/>
      <c r="E197" s="15"/>
      <c r="F197" s="33"/>
      <c r="G197" s="15"/>
      <c r="H197" s="33"/>
      <c r="I197" s="16">
        <f>10080*1.03</f>
        <v>10382.4</v>
      </c>
      <c r="J197" s="16">
        <f>5040*1.03</f>
        <v>5191.2</v>
      </c>
      <c r="K197" s="33"/>
      <c r="L197" s="11"/>
      <c r="M197" s="35">
        <f>(L198*12)+G198+I197+J197</f>
        <v>164071.584</v>
      </c>
    </row>
    <row r="198" spans="1:13" ht="13.5" thickBot="1" x14ac:dyDescent="0.25">
      <c r="A198" s="8" t="s">
        <v>82</v>
      </c>
      <c r="B198" s="9" t="s">
        <v>60</v>
      </c>
      <c r="C198" s="9" t="s">
        <v>54</v>
      </c>
      <c r="D198" s="9">
        <v>2</v>
      </c>
      <c r="E198" s="10">
        <f>10110.4*1.03</f>
        <v>10413.712</v>
      </c>
      <c r="F198" s="34"/>
      <c r="G198" s="10">
        <f>22848*1.03</f>
        <v>23533.440000000002</v>
      </c>
      <c r="H198" s="34"/>
      <c r="I198" s="17"/>
      <c r="J198" s="17"/>
      <c r="K198" s="34"/>
      <c r="L198" s="11">
        <f>E198</f>
        <v>10413.712</v>
      </c>
      <c r="M198" s="36"/>
    </row>
    <row r="199" spans="1:13" x14ac:dyDescent="0.2">
      <c r="A199" s="26"/>
      <c r="B199" s="27"/>
      <c r="C199" s="27"/>
      <c r="D199" s="27"/>
      <c r="E199" s="28"/>
      <c r="F199" s="26"/>
      <c r="G199" s="28"/>
      <c r="H199" s="26"/>
      <c r="I199" s="29"/>
      <c r="J199" s="29"/>
      <c r="K199" s="26"/>
      <c r="L199" s="30"/>
      <c r="M199" s="31"/>
    </row>
    <row r="200" spans="1:13" x14ac:dyDescent="0.2">
      <c r="E200" s="32">
        <f>SUM(E5:E199)</f>
        <v>1162194.9173999992</v>
      </c>
      <c r="F200" s="32">
        <f t="shared" ref="F200:G200" si="3">SUM(F5:F199)</f>
        <v>0</v>
      </c>
      <c r="G200" s="32">
        <f t="shared" si="3"/>
        <v>2622373.0578000005</v>
      </c>
      <c r="H200" s="32">
        <f t="shared" ref="H200" si="4">SUM(H5:H199)</f>
        <v>0</v>
      </c>
      <c r="I200" s="32">
        <f t="shared" ref="I200" si="5">SUM(I5:I199)</f>
        <v>906381.97500000068</v>
      </c>
      <c r="J200" s="32">
        <f t="shared" ref="J200" si="6">SUM(J5:J199)</f>
        <v>463800.9145000003</v>
      </c>
      <c r="K200" s="32">
        <f t="shared" ref="K200" si="7">SUM(K5:K199)</f>
        <v>0</v>
      </c>
      <c r="L200" s="32">
        <f>SUM(L5:L199)</f>
        <v>1162194.9173999992</v>
      </c>
      <c r="M200" s="32">
        <f>SUM(M5:M199)</f>
        <v>17938894.956100013</v>
      </c>
    </row>
    <row r="201" spans="1:13" x14ac:dyDescent="0.2">
      <c r="A201" s="6" t="s">
        <v>51</v>
      </c>
      <c r="B201" s="7"/>
      <c r="C201" s="7"/>
      <c r="M201" s="25"/>
    </row>
  </sheetData>
  <mergeCells count="424">
    <mergeCell ref="A1:M1"/>
    <mergeCell ref="A3:A4"/>
    <mergeCell ref="B3:B4"/>
    <mergeCell ref="C3:C4"/>
    <mergeCell ref="D3:D4"/>
    <mergeCell ref="M3:M4"/>
    <mergeCell ref="F7:F8"/>
    <mergeCell ref="H7:H8"/>
    <mergeCell ref="K7:K8"/>
    <mergeCell ref="M7:M8"/>
    <mergeCell ref="F9:F10"/>
    <mergeCell ref="H9:H10"/>
    <mergeCell ref="K9:K10"/>
    <mergeCell ref="M9:M10"/>
    <mergeCell ref="E3:L3"/>
    <mergeCell ref="M11:M12"/>
    <mergeCell ref="A13:A14"/>
    <mergeCell ref="F13:F14"/>
    <mergeCell ref="H13:H14"/>
    <mergeCell ref="K13:K14"/>
    <mergeCell ref="M13:M14"/>
    <mergeCell ref="F11:F12"/>
    <mergeCell ref="H11:H12"/>
    <mergeCell ref="I11:I12"/>
    <mergeCell ref="J11:J12"/>
    <mergeCell ref="K11:K12"/>
    <mergeCell ref="F19:F20"/>
    <mergeCell ref="H19:H20"/>
    <mergeCell ref="K19:K20"/>
    <mergeCell ref="M19:M20"/>
    <mergeCell ref="F21:F22"/>
    <mergeCell ref="H21:H22"/>
    <mergeCell ref="K21:K22"/>
    <mergeCell ref="M21:M22"/>
    <mergeCell ref="F15:F16"/>
    <mergeCell ref="H15:H16"/>
    <mergeCell ref="K15:K16"/>
    <mergeCell ref="M15:M16"/>
    <mergeCell ref="F17:F18"/>
    <mergeCell ref="H17:H18"/>
    <mergeCell ref="K17:K18"/>
    <mergeCell ref="M17:M18"/>
    <mergeCell ref="F27:F28"/>
    <mergeCell ref="H27:H28"/>
    <mergeCell ref="K27:K28"/>
    <mergeCell ref="M27:M28"/>
    <mergeCell ref="F29:F30"/>
    <mergeCell ref="H29:H30"/>
    <mergeCell ref="K29:K30"/>
    <mergeCell ref="M29:M30"/>
    <mergeCell ref="F23:F24"/>
    <mergeCell ref="H23:H24"/>
    <mergeCell ref="K23:K24"/>
    <mergeCell ref="M23:M24"/>
    <mergeCell ref="F25:F26"/>
    <mergeCell ref="H25:H26"/>
    <mergeCell ref="K25:K26"/>
    <mergeCell ref="M25:M26"/>
    <mergeCell ref="F31:F32"/>
    <mergeCell ref="H31:H32"/>
    <mergeCell ref="K31:K32"/>
    <mergeCell ref="M31:M32"/>
    <mergeCell ref="A33:A34"/>
    <mergeCell ref="F33:F34"/>
    <mergeCell ref="H33:H34"/>
    <mergeCell ref="K33:K34"/>
    <mergeCell ref="M33:M34"/>
    <mergeCell ref="A39:A40"/>
    <mergeCell ref="F39:F40"/>
    <mergeCell ref="H39:H40"/>
    <mergeCell ref="K39:K40"/>
    <mergeCell ref="M39:M40"/>
    <mergeCell ref="F35:F36"/>
    <mergeCell ref="H35:H36"/>
    <mergeCell ref="K35:K36"/>
    <mergeCell ref="M35:M36"/>
    <mergeCell ref="A37:A38"/>
    <mergeCell ref="F37:F38"/>
    <mergeCell ref="H37:H38"/>
    <mergeCell ref="K37:K38"/>
    <mergeCell ref="M37:M38"/>
    <mergeCell ref="F45:F46"/>
    <mergeCell ref="H45:H46"/>
    <mergeCell ref="K45:K46"/>
    <mergeCell ref="M45:M46"/>
    <mergeCell ref="F47:F48"/>
    <mergeCell ref="H47:H48"/>
    <mergeCell ref="K47:K48"/>
    <mergeCell ref="M47:M48"/>
    <mergeCell ref="F41:F42"/>
    <mergeCell ref="H41:H42"/>
    <mergeCell ref="K41:K42"/>
    <mergeCell ref="M41:M42"/>
    <mergeCell ref="F43:F44"/>
    <mergeCell ref="H43:H44"/>
    <mergeCell ref="K43:K44"/>
    <mergeCell ref="M43:M44"/>
    <mergeCell ref="F53:F54"/>
    <mergeCell ref="H53:H54"/>
    <mergeCell ref="K53:K54"/>
    <mergeCell ref="M53:M54"/>
    <mergeCell ref="F55:F56"/>
    <mergeCell ref="H55:H56"/>
    <mergeCell ref="K55:K56"/>
    <mergeCell ref="M55:M56"/>
    <mergeCell ref="F49:F50"/>
    <mergeCell ref="H49:H50"/>
    <mergeCell ref="K49:K50"/>
    <mergeCell ref="M49:M50"/>
    <mergeCell ref="F51:F52"/>
    <mergeCell ref="H51:H52"/>
    <mergeCell ref="K51:K52"/>
    <mergeCell ref="M51:M52"/>
    <mergeCell ref="A61:A62"/>
    <mergeCell ref="F61:F62"/>
    <mergeCell ref="H61:H62"/>
    <mergeCell ref="K61:K62"/>
    <mergeCell ref="M61:M62"/>
    <mergeCell ref="F57:F58"/>
    <mergeCell ref="H57:H58"/>
    <mergeCell ref="K57:K58"/>
    <mergeCell ref="M57:M58"/>
    <mergeCell ref="F59:F60"/>
    <mergeCell ref="H59:H60"/>
    <mergeCell ref="K59:K60"/>
    <mergeCell ref="M59:M60"/>
    <mergeCell ref="A65:A66"/>
    <mergeCell ref="F65:F66"/>
    <mergeCell ref="H65:H66"/>
    <mergeCell ref="K65:K66"/>
    <mergeCell ref="M65:M66"/>
    <mergeCell ref="A63:A64"/>
    <mergeCell ref="F63:F64"/>
    <mergeCell ref="H63:H64"/>
    <mergeCell ref="K63:K64"/>
    <mergeCell ref="M63:M64"/>
    <mergeCell ref="F69:F70"/>
    <mergeCell ref="H69:H70"/>
    <mergeCell ref="K69:K70"/>
    <mergeCell ref="M69:M70"/>
    <mergeCell ref="F71:F72"/>
    <mergeCell ref="H71:H72"/>
    <mergeCell ref="K71:K72"/>
    <mergeCell ref="M71:M72"/>
    <mergeCell ref="A67:A68"/>
    <mergeCell ref="F67:F68"/>
    <mergeCell ref="H67:H68"/>
    <mergeCell ref="K67:K68"/>
    <mergeCell ref="M67:M68"/>
    <mergeCell ref="F77:F78"/>
    <mergeCell ref="H77:H78"/>
    <mergeCell ref="K77:K78"/>
    <mergeCell ref="M77:M78"/>
    <mergeCell ref="F79:F80"/>
    <mergeCell ref="H79:H80"/>
    <mergeCell ref="K79:K80"/>
    <mergeCell ref="M79:M80"/>
    <mergeCell ref="F73:F74"/>
    <mergeCell ref="H73:H74"/>
    <mergeCell ref="K73:K74"/>
    <mergeCell ref="M73:M74"/>
    <mergeCell ref="F75:F76"/>
    <mergeCell ref="H75:H76"/>
    <mergeCell ref="K75:K76"/>
    <mergeCell ref="M75:M76"/>
    <mergeCell ref="F81:F82"/>
    <mergeCell ref="H81:H82"/>
    <mergeCell ref="K81:K82"/>
    <mergeCell ref="M81:M82"/>
    <mergeCell ref="A83:A84"/>
    <mergeCell ref="F83:F84"/>
    <mergeCell ref="H83:H84"/>
    <mergeCell ref="K83:K84"/>
    <mergeCell ref="M83:M84"/>
    <mergeCell ref="A91:A92"/>
    <mergeCell ref="F91:F92"/>
    <mergeCell ref="H91:H92"/>
    <mergeCell ref="K91:K92"/>
    <mergeCell ref="M91:M92"/>
    <mergeCell ref="F85:F86"/>
    <mergeCell ref="H85:H86"/>
    <mergeCell ref="K85:K86"/>
    <mergeCell ref="M85:M86"/>
    <mergeCell ref="F87:F88"/>
    <mergeCell ref="H87:H88"/>
    <mergeCell ref="K87:K88"/>
    <mergeCell ref="M87:M88"/>
    <mergeCell ref="F93:F94"/>
    <mergeCell ref="H93:H94"/>
    <mergeCell ref="K93:K94"/>
    <mergeCell ref="M93:M94"/>
    <mergeCell ref="F95:F96"/>
    <mergeCell ref="H95:H96"/>
    <mergeCell ref="K95:K96"/>
    <mergeCell ref="M95:M96"/>
    <mergeCell ref="F89:F90"/>
    <mergeCell ref="H89:H90"/>
    <mergeCell ref="K89:K90"/>
    <mergeCell ref="M89:M90"/>
    <mergeCell ref="F101:F102"/>
    <mergeCell ref="H101:H102"/>
    <mergeCell ref="K101:K102"/>
    <mergeCell ref="M101:M102"/>
    <mergeCell ref="F103:F104"/>
    <mergeCell ref="H103:H104"/>
    <mergeCell ref="K103:K104"/>
    <mergeCell ref="M103:M104"/>
    <mergeCell ref="F97:F98"/>
    <mergeCell ref="H97:H98"/>
    <mergeCell ref="K97:K98"/>
    <mergeCell ref="M97:M98"/>
    <mergeCell ref="F99:F100"/>
    <mergeCell ref="H99:H100"/>
    <mergeCell ref="K99:K100"/>
    <mergeCell ref="M99:M100"/>
    <mergeCell ref="F105:F106"/>
    <mergeCell ref="H105:H106"/>
    <mergeCell ref="K105:K106"/>
    <mergeCell ref="M105:M106"/>
    <mergeCell ref="A107:A108"/>
    <mergeCell ref="F107:F108"/>
    <mergeCell ref="H107:H108"/>
    <mergeCell ref="K107:K108"/>
    <mergeCell ref="M107:M108"/>
    <mergeCell ref="F109:F110"/>
    <mergeCell ref="H109:H110"/>
    <mergeCell ref="K109:K110"/>
    <mergeCell ref="M109:M110"/>
    <mergeCell ref="A111:A112"/>
    <mergeCell ref="F111:F112"/>
    <mergeCell ref="H111:H112"/>
    <mergeCell ref="K111:K112"/>
    <mergeCell ref="M111:M112"/>
    <mergeCell ref="F115:F116"/>
    <mergeCell ref="H115:H116"/>
    <mergeCell ref="K115:K116"/>
    <mergeCell ref="M115:M116"/>
    <mergeCell ref="F117:F118"/>
    <mergeCell ref="H117:H118"/>
    <mergeCell ref="K117:K118"/>
    <mergeCell ref="M117:M118"/>
    <mergeCell ref="A113:A114"/>
    <mergeCell ref="F113:F114"/>
    <mergeCell ref="H113:H114"/>
    <mergeCell ref="K113:K114"/>
    <mergeCell ref="M113:M114"/>
    <mergeCell ref="F119:F120"/>
    <mergeCell ref="H119:H120"/>
    <mergeCell ref="K119:K120"/>
    <mergeCell ref="M119:M120"/>
    <mergeCell ref="A121:A122"/>
    <mergeCell ref="F121:F122"/>
    <mergeCell ref="H121:H122"/>
    <mergeCell ref="K121:K122"/>
    <mergeCell ref="M121:M122"/>
    <mergeCell ref="F125:F126"/>
    <mergeCell ref="H125:H126"/>
    <mergeCell ref="K125:K126"/>
    <mergeCell ref="M125:M126"/>
    <mergeCell ref="F127:F128"/>
    <mergeCell ref="H127:H128"/>
    <mergeCell ref="K127:K128"/>
    <mergeCell ref="M127:M128"/>
    <mergeCell ref="A123:A124"/>
    <mergeCell ref="F123:F124"/>
    <mergeCell ref="H123:H124"/>
    <mergeCell ref="K123:K124"/>
    <mergeCell ref="M123:M124"/>
    <mergeCell ref="F133:F134"/>
    <mergeCell ref="H133:H134"/>
    <mergeCell ref="K133:K134"/>
    <mergeCell ref="M133:M134"/>
    <mergeCell ref="F135:F136"/>
    <mergeCell ref="H135:H136"/>
    <mergeCell ref="K135:K136"/>
    <mergeCell ref="M135:M136"/>
    <mergeCell ref="F129:F130"/>
    <mergeCell ref="H129:H130"/>
    <mergeCell ref="K129:K130"/>
    <mergeCell ref="M129:M130"/>
    <mergeCell ref="F131:F132"/>
    <mergeCell ref="H131:H132"/>
    <mergeCell ref="K131:K132"/>
    <mergeCell ref="M131:M132"/>
    <mergeCell ref="F137:F138"/>
    <mergeCell ref="H137:H138"/>
    <mergeCell ref="K137:K138"/>
    <mergeCell ref="M137:M138"/>
    <mergeCell ref="A139:A140"/>
    <mergeCell ref="F139:F140"/>
    <mergeCell ref="H139:H140"/>
    <mergeCell ref="K139:K140"/>
    <mergeCell ref="M139:M140"/>
    <mergeCell ref="A147:A148"/>
    <mergeCell ref="F147:F148"/>
    <mergeCell ref="H147:H148"/>
    <mergeCell ref="K147:K148"/>
    <mergeCell ref="M147:M148"/>
    <mergeCell ref="F141:F142"/>
    <mergeCell ref="H141:H142"/>
    <mergeCell ref="K141:K142"/>
    <mergeCell ref="M141:M142"/>
    <mergeCell ref="A143:A144"/>
    <mergeCell ref="F143:F144"/>
    <mergeCell ref="H143:H144"/>
    <mergeCell ref="K143:K144"/>
    <mergeCell ref="M143:M144"/>
    <mergeCell ref="F149:F150"/>
    <mergeCell ref="H149:H150"/>
    <mergeCell ref="K149:K150"/>
    <mergeCell ref="M149:M150"/>
    <mergeCell ref="F151:F152"/>
    <mergeCell ref="H151:H152"/>
    <mergeCell ref="K151:K152"/>
    <mergeCell ref="M151:M152"/>
    <mergeCell ref="F145:F146"/>
    <mergeCell ref="H145:H146"/>
    <mergeCell ref="K145:K146"/>
    <mergeCell ref="M145:M146"/>
    <mergeCell ref="F153:F154"/>
    <mergeCell ref="H153:H154"/>
    <mergeCell ref="K153:K154"/>
    <mergeCell ref="M153:M154"/>
    <mergeCell ref="A155:A156"/>
    <mergeCell ref="F155:F156"/>
    <mergeCell ref="H155:H156"/>
    <mergeCell ref="K155:K156"/>
    <mergeCell ref="M155:M156"/>
    <mergeCell ref="F157:F158"/>
    <mergeCell ref="H157:H158"/>
    <mergeCell ref="K157:K158"/>
    <mergeCell ref="M157:M158"/>
    <mergeCell ref="A159:A160"/>
    <mergeCell ref="F159:F160"/>
    <mergeCell ref="H159:H160"/>
    <mergeCell ref="K159:K160"/>
    <mergeCell ref="M159:M160"/>
    <mergeCell ref="A165:A166"/>
    <mergeCell ref="F165:F166"/>
    <mergeCell ref="H165:H166"/>
    <mergeCell ref="K165:K166"/>
    <mergeCell ref="M165:M166"/>
    <mergeCell ref="F161:F162"/>
    <mergeCell ref="H161:H162"/>
    <mergeCell ref="K161:K162"/>
    <mergeCell ref="M161:M162"/>
    <mergeCell ref="F163:F164"/>
    <mergeCell ref="H163:H164"/>
    <mergeCell ref="K163:K164"/>
    <mergeCell ref="M163:M164"/>
    <mergeCell ref="A173:A174"/>
    <mergeCell ref="F173:F174"/>
    <mergeCell ref="H173:H174"/>
    <mergeCell ref="K173:K174"/>
    <mergeCell ref="M173:M174"/>
    <mergeCell ref="F167:F168"/>
    <mergeCell ref="H167:H168"/>
    <mergeCell ref="K167:K168"/>
    <mergeCell ref="M167:M168"/>
    <mergeCell ref="A169:A170"/>
    <mergeCell ref="F169:F170"/>
    <mergeCell ref="H169:H170"/>
    <mergeCell ref="K169:K170"/>
    <mergeCell ref="M169:M170"/>
    <mergeCell ref="E169:E170"/>
    <mergeCell ref="F175:F176"/>
    <mergeCell ref="H175:H176"/>
    <mergeCell ref="K175:K176"/>
    <mergeCell ref="M175:M176"/>
    <mergeCell ref="F177:F178"/>
    <mergeCell ref="H177:H178"/>
    <mergeCell ref="K177:K178"/>
    <mergeCell ref="M177:M178"/>
    <mergeCell ref="F171:F172"/>
    <mergeCell ref="H171:H172"/>
    <mergeCell ref="K171:K172"/>
    <mergeCell ref="M171:M172"/>
    <mergeCell ref="A183:A184"/>
    <mergeCell ref="F183:F184"/>
    <mergeCell ref="H183:H184"/>
    <mergeCell ref="K183:K184"/>
    <mergeCell ref="M183:M184"/>
    <mergeCell ref="F179:F180"/>
    <mergeCell ref="H179:H180"/>
    <mergeCell ref="K179:K180"/>
    <mergeCell ref="M179:M180"/>
    <mergeCell ref="A181:A182"/>
    <mergeCell ref="F181:F182"/>
    <mergeCell ref="H181:H182"/>
    <mergeCell ref="K181:K182"/>
    <mergeCell ref="M181:M182"/>
    <mergeCell ref="A187:A188"/>
    <mergeCell ref="F187:F188"/>
    <mergeCell ref="H187:H188"/>
    <mergeCell ref="K187:K188"/>
    <mergeCell ref="M187:M188"/>
    <mergeCell ref="A185:A186"/>
    <mergeCell ref="F185:F186"/>
    <mergeCell ref="H185:H186"/>
    <mergeCell ref="K185:K186"/>
    <mergeCell ref="M185:M186"/>
    <mergeCell ref="A191:A192"/>
    <mergeCell ref="F191:F192"/>
    <mergeCell ref="H191:H192"/>
    <mergeCell ref="K191:K192"/>
    <mergeCell ref="M191:M192"/>
    <mergeCell ref="A189:A190"/>
    <mergeCell ref="F189:F190"/>
    <mergeCell ref="H189:H190"/>
    <mergeCell ref="K189:K190"/>
    <mergeCell ref="M189:M190"/>
    <mergeCell ref="F195:F196"/>
    <mergeCell ref="H195:H196"/>
    <mergeCell ref="K195:K196"/>
    <mergeCell ref="M195:M196"/>
    <mergeCell ref="F197:F198"/>
    <mergeCell ref="H197:H198"/>
    <mergeCell ref="K197:K198"/>
    <mergeCell ref="M197:M198"/>
    <mergeCell ref="A193:A194"/>
    <mergeCell ref="F193:F194"/>
    <mergeCell ref="H193:H194"/>
    <mergeCell ref="K193:K194"/>
    <mergeCell ref="M193:M194"/>
  </mergeCell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8"/>
  <sheetViews>
    <sheetView showGridLines="0" workbookViewId="0">
      <selection activeCell="C13" sqref="C13"/>
    </sheetView>
  </sheetViews>
  <sheetFormatPr baseColWidth="10" defaultRowHeight="12.75" x14ac:dyDescent="0.2"/>
  <cols>
    <col min="1" max="1" width="54.42578125" customWidth="1"/>
  </cols>
  <sheetData>
    <row r="1" spans="1:1" x14ac:dyDescent="0.2">
      <c r="A1" s="3" t="s">
        <v>47</v>
      </c>
    </row>
    <row r="3" spans="1:1" x14ac:dyDescent="0.2">
      <c r="A3" s="2" t="s">
        <v>11</v>
      </c>
    </row>
    <row r="4" spans="1:1" x14ac:dyDescent="0.2">
      <c r="A4" s="1" t="s">
        <v>12</v>
      </c>
    </row>
    <row r="5" spans="1:1" x14ac:dyDescent="0.2">
      <c r="A5" s="1" t="s">
        <v>13</v>
      </c>
    </row>
    <row r="6" spans="1:1" x14ac:dyDescent="0.2">
      <c r="A6" s="1" t="s">
        <v>14</v>
      </c>
    </row>
    <row r="7" spans="1:1" x14ac:dyDescent="0.2">
      <c r="A7" s="1" t="s">
        <v>15</v>
      </c>
    </row>
    <row r="8" spans="1:1" x14ac:dyDescent="0.2">
      <c r="A8" s="2" t="s">
        <v>16</v>
      </c>
    </row>
    <row r="9" spans="1:1" x14ac:dyDescent="0.2">
      <c r="A9" s="1" t="s">
        <v>17</v>
      </c>
    </row>
    <row r="10" spans="1:1" x14ac:dyDescent="0.2">
      <c r="A10" s="1" t="s">
        <v>18</v>
      </c>
    </row>
    <row r="11" spans="1:1" x14ac:dyDescent="0.2">
      <c r="A11" s="1" t="s">
        <v>19</v>
      </c>
    </row>
    <row r="12" spans="1:1" ht="24" x14ac:dyDescent="0.2">
      <c r="A12" s="1" t="s">
        <v>20</v>
      </c>
    </row>
    <row r="13" spans="1:1" x14ac:dyDescent="0.2">
      <c r="A13" s="2" t="s">
        <v>21</v>
      </c>
    </row>
    <row r="14" spans="1:1" x14ac:dyDescent="0.2">
      <c r="A14" s="1" t="s">
        <v>22</v>
      </c>
    </row>
    <row r="15" spans="1:1" x14ac:dyDescent="0.2">
      <c r="A15" s="1" t="s">
        <v>23</v>
      </c>
    </row>
    <row r="16" spans="1:1" x14ac:dyDescent="0.2">
      <c r="A16" s="1" t="s">
        <v>24</v>
      </c>
    </row>
    <row r="17" spans="1:1" x14ac:dyDescent="0.2">
      <c r="A17" s="1" t="s">
        <v>25</v>
      </c>
    </row>
    <row r="18" spans="1:1" x14ac:dyDescent="0.2">
      <c r="A18" s="1" t="s">
        <v>26</v>
      </c>
    </row>
    <row r="19" spans="1:1" ht="24" x14ac:dyDescent="0.2">
      <c r="A19" s="1" t="s">
        <v>27</v>
      </c>
    </row>
    <row r="20" spans="1:1" x14ac:dyDescent="0.2">
      <c r="A20" s="1" t="s">
        <v>28</v>
      </c>
    </row>
    <row r="21" spans="1:1" ht="24" x14ac:dyDescent="0.2">
      <c r="A21" s="1" t="s">
        <v>29</v>
      </c>
    </row>
    <row r="22" spans="1:1" x14ac:dyDescent="0.2">
      <c r="A22" s="2" t="s">
        <v>30</v>
      </c>
    </row>
    <row r="23" spans="1:1" x14ac:dyDescent="0.2">
      <c r="A23" s="1" t="s">
        <v>31</v>
      </c>
    </row>
    <row r="24" spans="1:1" x14ac:dyDescent="0.2">
      <c r="A24" s="1" t="s">
        <v>32</v>
      </c>
    </row>
    <row r="25" spans="1:1" x14ac:dyDescent="0.2">
      <c r="A25" s="1" t="s">
        <v>33</v>
      </c>
    </row>
    <row r="26" spans="1:1" x14ac:dyDescent="0.2">
      <c r="A26" s="1" t="s">
        <v>34</v>
      </c>
    </row>
    <row r="27" spans="1:1" x14ac:dyDescent="0.2">
      <c r="A27" s="2" t="s">
        <v>35</v>
      </c>
    </row>
    <row r="28" spans="1:1" x14ac:dyDescent="0.2">
      <c r="A28" s="1" t="s">
        <v>36</v>
      </c>
    </row>
    <row r="29" spans="1:1" x14ac:dyDescent="0.2">
      <c r="A29" s="1" t="s">
        <v>37</v>
      </c>
    </row>
    <row r="30" spans="1:1" x14ac:dyDescent="0.2">
      <c r="A30" s="1" t="s">
        <v>38</v>
      </c>
    </row>
    <row r="31" spans="1:1" x14ac:dyDescent="0.2">
      <c r="A31" s="1" t="s">
        <v>39</v>
      </c>
    </row>
    <row r="32" spans="1:1" x14ac:dyDescent="0.2">
      <c r="A32" s="1" t="s">
        <v>40</v>
      </c>
    </row>
    <row r="33" spans="1:1" x14ac:dyDescent="0.2">
      <c r="A33" s="1" t="s">
        <v>41</v>
      </c>
    </row>
    <row r="34" spans="1:1" x14ac:dyDescent="0.2">
      <c r="A34" s="2" t="s">
        <v>42</v>
      </c>
    </row>
    <row r="35" spans="1:1" x14ac:dyDescent="0.2">
      <c r="A35" s="1" t="s">
        <v>43</v>
      </c>
    </row>
    <row r="36" spans="1:1" x14ac:dyDescent="0.2">
      <c r="A36" s="2" t="s">
        <v>44</v>
      </c>
    </row>
    <row r="37" spans="1:1" x14ac:dyDescent="0.2">
      <c r="A37" s="1" t="s">
        <v>45</v>
      </c>
    </row>
    <row r="38" spans="1:1" x14ac:dyDescent="0.2">
      <c r="A38" s="1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TABULADOR</vt:lpstr>
      <vt:lpstr>DESCRIPCIÓN DE REMUNERACIONES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Ismael Torres  Rodriguez</dc:creator>
  <cp:lastModifiedBy>selene_mro@hotmail.com</cp:lastModifiedBy>
  <cp:lastPrinted>2016-12-02T20:15:28Z</cp:lastPrinted>
  <dcterms:created xsi:type="dcterms:W3CDTF">2016-12-02T19:55:58Z</dcterms:created>
  <dcterms:modified xsi:type="dcterms:W3CDTF">2022-12-04T22:36:45Z</dcterms:modified>
</cp:coreProperties>
</file>