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20610" windowHeight="11640" tabRatio="500" firstSheet="2" activeTab="2"/>
  </bookViews>
  <sheets>
    <sheet name="Clasificador agosto" sheetId="20" r:id="rId1"/>
    <sheet name="cierre 2020 normal" sheetId="2" r:id="rId2"/>
    <sheet name="ANALITICA PTTO 2021" sheetId="18" r:id="rId3"/>
  </sheets>
  <definedNames>
    <definedName name="_xlnm.Print_Area" localSheetId="2">'ANALITICA PTTO 2021'!$A$1:$H$359</definedName>
    <definedName name="_xlnm.Print_Area" localSheetId="1">'cierre 2020 normal'!$A$1:$G$360</definedName>
    <definedName name="_xlnm.Print_Titles" localSheetId="2">'ANALITICA PTTO 2021'!$1:$4</definedName>
    <definedName name="_xlnm.Print_Titles" localSheetId="1">'cierre 2020 normal'!$4:$4</definedName>
  </definedNames>
  <calcPr calcId="124519"/>
</workbook>
</file>

<file path=xl/calcChain.xml><?xml version="1.0" encoding="utf-8"?>
<calcChain xmlns="http://schemas.openxmlformats.org/spreadsheetml/2006/main">
  <c r="G334" i="18"/>
  <c r="G249"/>
  <c r="H249"/>
  <c r="G250"/>
  <c r="G220"/>
  <c r="G148"/>
  <c r="G337"/>
  <c r="E93" i="2"/>
  <c r="H17" i="18"/>
  <c r="I326" i="2"/>
  <c r="H326"/>
  <c r="I321"/>
  <c r="H321"/>
  <c r="H293"/>
  <c r="I291"/>
  <c r="H291"/>
  <c r="E201"/>
  <c r="I191"/>
  <c r="H165"/>
  <c r="E65"/>
  <c r="E59"/>
  <c r="E53"/>
  <c r="E52"/>
  <c r="E51"/>
  <c r="E50"/>
  <c r="E49"/>
  <c r="E46"/>
  <c r="E45"/>
  <c r="E44"/>
  <c r="E43"/>
  <c r="E42"/>
  <c r="E41"/>
  <c r="E38"/>
  <c r="E36"/>
  <c r="E34"/>
  <c r="E32"/>
  <c r="J32"/>
  <c r="E30"/>
  <c r="E29"/>
  <c r="E27"/>
  <c r="E26"/>
  <c r="E25"/>
  <c r="E23"/>
  <c r="E19"/>
  <c r="E18"/>
  <c r="E17"/>
  <c r="E12"/>
  <c r="E11"/>
  <c r="E10"/>
  <c r="E9"/>
  <c r="E220"/>
  <c r="E276"/>
  <c r="E317"/>
  <c r="H331" i="18"/>
  <c r="F351"/>
  <c r="G317"/>
  <c r="G316" s="1"/>
  <c r="E351" i="2"/>
  <c r="D351"/>
  <c r="G294"/>
  <c r="G348" i="18"/>
  <c r="G347" s="1"/>
  <c r="H348"/>
  <c r="H347" s="1"/>
  <c r="H64"/>
  <c r="H61"/>
  <c r="H57"/>
  <c r="H56"/>
  <c r="H54"/>
  <c r="G41"/>
  <c r="G22"/>
  <c r="F22" i="2"/>
  <c r="H161" i="18"/>
  <c r="H21"/>
  <c r="H11"/>
  <c r="E231" i="2"/>
  <c r="H141" i="18"/>
  <c r="H183"/>
  <c r="G333"/>
  <c r="H334"/>
  <c r="H351"/>
  <c r="H350" s="1"/>
  <c r="H338"/>
  <c r="H316"/>
  <c r="G312"/>
  <c r="H312"/>
  <c r="G331" l="1"/>
  <c r="H16"/>
  <c r="H15" s="1"/>
  <c r="H330"/>
  <c r="H329" s="1"/>
  <c r="H328" s="1"/>
  <c r="H235" l="1"/>
  <c r="G231"/>
  <c r="G230" s="1"/>
  <c r="H40"/>
  <c r="H35"/>
  <c r="H8"/>
  <c r="H7" s="1"/>
  <c r="H14"/>
  <c r="H24"/>
  <c r="H28"/>
  <c r="H47"/>
  <c r="G195"/>
  <c r="H126"/>
  <c r="H346"/>
  <c r="F357"/>
  <c r="G357" s="1"/>
  <c r="F356"/>
  <c r="E355"/>
  <c r="E354" s="1"/>
  <c r="E353" s="1"/>
  <c r="D355"/>
  <c r="D354" s="1"/>
  <c r="D353" s="1"/>
  <c r="C354"/>
  <c r="C353" s="1"/>
  <c r="G352"/>
  <c r="E350"/>
  <c r="E346" s="1"/>
  <c r="D350"/>
  <c r="D346" s="1"/>
  <c r="C350"/>
  <c r="E349"/>
  <c r="F349" s="1"/>
  <c r="F348" s="1"/>
  <c r="F347" s="1"/>
  <c r="E348"/>
  <c r="E347"/>
  <c r="C346"/>
  <c r="F345"/>
  <c r="F344" s="1"/>
  <c r="E344"/>
  <c r="E343" s="1"/>
  <c r="D344"/>
  <c r="D343" s="1"/>
  <c r="C344"/>
  <c r="C343" s="1"/>
  <c r="F342"/>
  <c r="F341" s="1"/>
  <c r="E341"/>
  <c r="D341"/>
  <c r="C341"/>
  <c r="F340"/>
  <c r="E339"/>
  <c r="D339"/>
  <c r="C339"/>
  <c r="F338"/>
  <c r="G338" s="1"/>
  <c r="F336"/>
  <c r="G336" s="1"/>
  <c r="F335"/>
  <c r="G335" s="1"/>
  <c r="E334"/>
  <c r="D334"/>
  <c r="C334"/>
  <c r="F332"/>
  <c r="G332" s="1"/>
  <c r="E326"/>
  <c r="D325"/>
  <c r="D319" s="1"/>
  <c r="C325"/>
  <c r="C319" s="1"/>
  <c r="E324"/>
  <c r="F324" s="1"/>
  <c r="G324" s="1"/>
  <c r="H324" s="1"/>
  <c r="E323"/>
  <c r="F323" s="1"/>
  <c r="E322"/>
  <c r="F322" s="1"/>
  <c r="G322" s="1"/>
  <c r="H322" s="1"/>
  <c r="E321"/>
  <c r="E320"/>
  <c r="F320" s="1"/>
  <c r="E318"/>
  <c r="F318" s="1"/>
  <c r="E317"/>
  <c r="D316"/>
  <c r="C316"/>
  <c r="E315"/>
  <c r="F315" s="1"/>
  <c r="E314"/>
  <c r="F314" s="1"/>
  <c r="E313"/>
  <c r="F313" s="1"/>
  <c r="D312"/>
  <c r="C312"/>
  <c r="E311"/>
  <c r="E310"/>
  <c r="F310" s="1"/>
  <c r="G310" s="1"/>
  <c r="E309"/>
  <c r="F309" s="1"/>
  <c r="D308"/>
  <c r="C308"/>
  <c r="F304"/>
  <c r="F303" s="1"/>
  <c r="E303"/>
  <c r="D303"/>
  <c r="C303"/>
  <c r="E300"/>
  <c r="F300" s="1"/>
  <c r="E299"/>
  <c r="F299" s="1"/>
  <c r="E298"/>
  <c r="F298" s="1"/>
  <c r="G298" s="1"/>
  <c r="H298" s="1"/>
  <c r="E297"/>
  <c r="F297" s="1"/>
  <c r="E296"/>
  <c r="F296" s="1"/>
  <c r="D295"/>
  <c r="C295"/>
  <c r="E294"/>
  <c r="F294" s="1"/>
  <c r="G294" s="1"/>
  <c r="F293"/>
  <c r="G293" s="1"/>
  <c r="H293" s="1"/>
  <c r="F292"/>
  <c r="E291"/>
  <c r="D290"/>
  <c r="C290"/>
  <c r="F289"/>
  <c r="G289" s="1"/>
  <c r="H289" s="1"/>
  <c r="F288"/>
  <c r="G288" s="1"/>
  <c r="F287"/>
  <c r="G287" s="1"/>
  <c r="H287" s="1"/>
  <c r="E286"/>
  <c r="F286" s="1"/>
  <c r="E285"/>
  <c r="F285" s="1"/>
  <c r="G285" s="1"/>
  <c r="F284"/>
  <c r="F283"/>
  <c r="G283" s="1"/>
  <c r="D282"/>
  <c r="C282"/>
  <c r="F280"/>
  <c r="G280" s="1"/>
  <c r="E279"/>
  <c r="D279"/>
  <c r="C279"/>
  <c r="F278"/>
  <c r="E277"/>
  <c r="F277" s="1"/>
  <c r="G277" s="1"/>
  <c r="H277" s="1"/>
  <c r="F276"/>
  <c r="G276" s="1"/>
  <c r="E275"/>
  <c r="F274"/>
  <c r="G274" s="1"/>
  <c r="H274" s="1"/>
  <c r="D273"/>
  <c r="C273"/>
  <c r="F272"/>
  <c r="G272" s="1"/>
  <c r="E271"/>
  <c r="F271" s="1"/>
  <c r="H271" s="1"/>
  <c r="E270"/>
  <c r="F270" s="1"/>
  <c r="G270" s="1"/>
  <c r="G269" s="1"/>
  <c r="D269"/>
  <c r="D251" s="1"/>
  <c r="C269"/>
  <c r="C251" s="1"/>
  <c r="E268"/>
  <c r="F268" s="1"/>
  <c r="F267"/>
  <c r="F266"/>
  <c r="F265"/>
  <c r="F264"/>
  <c r="E263"/>
  <c r="F263" s="1"/>
  <c r="F262"/>
  <c r="F261"/>
  <c r="F260"/>
  <c r="F259"/>
  <c r="F258"/>
  <c r="F257"/>
  <c r="F256"/>
  <c r="F255"/>
  <c r="F254"/>
  <c r="E253"/>
  <c r="F253" s="1"/>
  <c r="E252"/>
  <c r="F252" s="1"/>
  <c r="E249"/>
  <c r="D249"/>
  <c r="F248"/>
  <c r="G248" s="1"/>
  <c r="F247"/>
  <c r="G247" s="1"/>
  <c r="F246"/>
  <c r="G246" s="1"/>
  <c r="E245"/>
  <c r="D245"/>
  <c r="C245"/>
  <c r="C244" s="1"/>
  <c r="F243"/>
  <c r="F242" s="1"/>
  <c r="E242"/>
  <c r="D242"/>
  <c r="C242"/>
  <c r="F240"/>
  <c r="F239" s="1"/>
  <c r="E239"/>
  <c r="D239"/>
  <c r="C239"/>
  <c r="E238"/>
  <c r="F238" s="1"/>
  <c r="G238" s="1"/>
  <c r="E237"/>
  <c r="F237" s="1"/>
  <c r="F236"/>
  <c r="G236" s="1"/>
  <c r="G235" s="1"/>
  <c r="D235"/>
  <c r="C235"/>
  <c r="F233"/>
  <c r="G233" s="1"/>
  <c r="G232" s="1"/>
  <c r="E232"/>
  <c r="D232"/>
  <c r="C232"/>
  <c r="F230"/>
  <c r="E230"/>
  <c r="E227" s="1"/>
  <c r="D230"/>
  <c r="D227" s="1"/>
  <c r="C230"/>
  <c r="C227" s="1"/>
  <c r="F229"/>
  <c r="G229" s="1"/>
  <c r="H229" s="1"/>
  <c r="F228"/>
  <c r="E226"/>
  <c r="F226" s="1"/>
  <c r="G226" s="1"/>
  <c r="E225"/>
  <c r="D224"/>
  <c r="C224"/>
  <c r="E223"/>
  <c r="F223" s="1"/>
  <c r="G223" s="1"/>
  <c r="H223" s="1"/>
  <c r="E222"/>
  <c r="F222" s="1"/>
  <c r="G222" s="1"/>
  <c r="H222" s="1"/>
  <c r="E221"/>
  <c r="F221" s="1"/>
  <c r="G221" s="1"/>
  <c r="H221" s="1"/>
  <c r="F220"/>
  <c r="F219"/>
  <c r="G219" s="1"/>
  <c r="H219" s="1"/>
  <c r="E218"/>
  <c r="F218" s="1"/>
  <c r="G218" s="1"/>
  <c r="H218" s="1"/>
  <c r="F217"/>
  <c r="G217" s="1"/>
  <c r="H217" s="1"/>
  <c r="E216"/>
  <c r="F216" s="1"/>
  <c r="G216" s="1"/>
  <c r="H216" s="1"/>
  <c r="F215"/>
  <c r="G215" s="1"/>
  <c r="H215" s="1"/>
  <c r="E214"/>
  <c r="D214"/>
  <c r="C214"/>
  <c r="F213"/>
  <c r="G213" s="1"/>
  <c r="H213" s="1"/>
  <c r="F212"/>
  <c r="G212" s="1"/>
  <c r="E210"/>
  <c r="F210" s="1"/>
  <c r="G210" s="1"/>
  <c r="H210" s="1"/>
  <c r="F209"/>
  <c r="G209" s="1"/>
  <c r="H209" s="1"/>
  <c r="F208"/>
  <c r="F207"/>
  <c r="G207" s="1"/>
  <c r="H207" s="1"/>
  <c r="F206"/>
  <c r="E205"/>
  <c r="D205"/>
  <c r="C205"/>
  <c r="F204"/>
  <c r="F203" s="1"/>
  <c r="E203"/>
  <c r="D203"/>
  <c r="C203"/>
  <c r="E202"/>
  <c r="G201"/>
  <c r="H201" s="1"/>
  <c r="F200"/>
  <c r="D199"/>
  <c r="C199"/>
  <c r="F198"/>
  <c r="H198" s="1"/>
  <c r="F197"/>
  <c r="H197" s="1"/>
  <c r="F196"/>
  <c r="H196" s="1"/>
  <c r="E195"/>
  <c r="D195"/>
  <c r="C195"/>
  <c r="F193"/>
  <c r="E193"/>
  <c r="D193"/>
  <c r="C193"/>
  <c r="E192"/>
  <c r="F192" s="1"/>
  <c r="G191"/>
  <c r="F190"/>
  <c r="D189"/>
  <c r="C189"/>
  <c r="F186"/>
  <c r="E185"/>
  <c r="D185"/>
  <c r="C185"/>
  <c r="E184"/>
  <c r="F184" s="1"/>
  <c r="G184" s="1"/>
  <c r="G183" s="1"/>
  <c r="D183"/>
  <c r="C183"/>
  <c r="F182"/>
  <c r="G182" s="1"/>
  <c r="F181"/>
  <c r="G181" s="1"/>
  <c r="F180"/>
  <c r="G180" s="1"/>
  <c r="F179"/>
  <c r="G179" s="1"/>
  <c r="H179" s="1"/>
  <c r="F178"/>
  <c r="G178" s="1"/>
  <c r="E177"/>
  <c r="D177"/>
  <c r="C177"/>
  <c r="F176"/>
  <c r="G176" s="1"/>
  <c r="H176" s="1"/>
  <c r="F175"/>
  <c r="G175" s="1"/>
  <c r="H175" s="1"/>
  <c r="F174"/>
  <c r="G174" s="1"/>
  <c r="F173"/>
  <c r="G173" s="1"/>
  <c r="F172"/>
  <c r="G172" s="1"/>
  <c r="E171"/>
  <c r="D171"/>
  <c r="C171"/>
  <c r="F169"/>
  <c r="G169" s="1"/>
  <c r="H169" s="1"/>
  <c r="F168"/>
  <c r="G168" s="1"/>
  <c r="H168" s="1"/>
  <c r="F167"/>
  <c r="E166"/>
  <c r="D166"/>
  <c r="C166"/>
  <c r="E165"/>
  <c r="F165" s="1"/>
  <c r="G165" s="1"/>
  <c r="E164"/>
  <c r="F164" s="1"/>
  <c r="G164" s="1"/>
  <c r="G163" s="1"/>
  <c r="G162" s="1"/>
  <c r="D163"/>
  <c r="D162" s="1"/>
  <c r="C163"/>
  <c r="C162" s="1"/>
  <c r="F161"/>
  <c r="G161" s="1"/>
  <c r="G160" s="1"/>
  <c r="E160"/>
  <c r="D160"/>
  <c r="C160"/>
  <c r="F159"/>
  <c r="F158"/>
  <c r="G158" s="1"/>
  <c r="G157" s="1"/>
  <c r="E157"/>
  <c r="D157"/>
  <c r="C157"/>
  <c r="E155"/>
  <c r="E154" s="1"/>
  <c r="E153" s="1"/>
  <c r="D154"/>
  <c r="D153" s="1"/>
  <c r="C154"/>
  <c r="C153" s="1"/>
  <c r="F152"/>
  <c r="F151"/>
  <c r="G151" s="1"/>
  <c r="H151" s="1"/>
  <c r="F150"/>
  <c r="G150" s="1"/>
  <c r="F149"/>
  <c r="G149" s="1"/>
  <c r="H149" s="1"/>
  <c r="F148"/>
  <c r="F147"/>
  <c r="E146"/>
  <c r="D146"/>
  <c r="C146"/>
  <c r="E144"/>
  <c r="F143"/>
  <c r="G143" s="1"/>
  <c r="H143" s="1"/>
  <c r="F142"/>
  <c r="F141"/>
  <c r="G141" s="1"/>
  <c r="F140"/>
  <c r="G140" s="1"/>
  <c r="F139"/>
  <c r="F138" s="1"/>
  <c r="E138"/>
  <c r="D138"/>
  <c r="D137" s="1"/>
  <c r="C138"/>
  <c r="F136"/>
  <c r="G136" s="1"/>
  <c r="G135" s="1"/>
  <c r="E135"/>
  <c r="D135"/>
  <c r="C135"/>
  <c r="F134"/>
  <c r="F133" s="1"/>
  <c r="E133"/>
  <c r="D133"/>
  <c r="C133"/>
  <c r="F132"/>
  <c r="G132" s="1"/>
  <c r="F131"/>
  <c r="E130"/>
  <c r="D130"/>
  <c r="C130"/>
  <c r="F129"/>
  <c r="E128"/>
  <c r="D128"/>
  <c r="C128"/>
  <c r="F127"/>
  <c r="F126" s="1"/>
  <c r="E126"/>
  <c r="D126"/>
  <c r="C126"/>
  <c r="F121"/>
  <c r="F120"/>
  <c r="E119"/>
  <c r="E111" s="1"/>
  <c r="D119"/>
  <c r="D111" s="1"/>
  <c r="C119"/>
  <c r="C111" s="1"/>
  <c r="F118"/>
  <c r="G118" s="1"/>
  <c r="H118" s="1"/>
  <c r="F117"/>
  <c r="G117" s="1"/>
  <c r="F116"/>
  <c r="G116" s="1"/>
  <c r="H116" s="1"/>
  <c r="F115"/>
  <c r="G115" s="1"/>
  <c r="H115" s="1"/>
  <c r="G114"/>
  <c r="H114" s="1"/>
  <c r="F113"/>
  <c r="G113" s="1"/>
  <c r="G112"/>
  <c r="F110"/>
  <c r="G110" s="1"/>
  <c r="H110" s="1"/>
  <c r="F109"/>
  <c r="G109" s="1"/>
  <c r="F108"/>
  <c r="G108" s="1"/>
  <c r="H108" s="1"/>
  <c r="E106"/>
  <c r="D106"/>
  <c r="C106"/>
  <c r="F105"/>
  <c r="G105" s="1"/>
  <c r="H105" s="1"/>
  <c r="F104"/>
  <c r="G104" s="1"/>
  <c r="F103"/>
  <c r="G103" s="1"/>
  <c r="E102"/>
  <c r="E101" s="1"/>
  <c r="D102"/>
  <c r="D101" s="1"/>
  <c r="C102"/>
  <c r="C101" s="1"/>
  <c r="F100"/>
  <c r="G100" s="1"/>
  <c r="H100" s="1"/>
  <c r="F99"/>
  <c r="G98"/>
  <c r="H98" s="1"/>
  <c r="E97"/>
  <c r="D97"/>
  <c r="C97"/>
  <c r="F96"/>
  <c r="G96" s="1"/>
  <c r="H96" s="1"/>
  <c r="F95"/>
  <c r="G95" s="1"/>
  <c r="H95" s="1"/>
  <c r="F94"/>
  <c r="G94" s="1"/>
  <c r="E93"/>
  <c r="E92" s="1"/>
  <c r="D92"/>
  <c r="C92"/>
  <c r="F90"/>
  <c r="F89"/>
  <c r="G89" s="1"/>
  <c r="H89" s="1"/>
  <c r="G88"/>
  <c r="F87"/>
  <c r="G87" s="1"/>
  <c r="H87" s="1"/>
  <c r="F86"/>
  <c r="G86" s="1"/>
  <c r="H86" s="1"/>
  <c r="F85"/>
  <c r="G85" s="1"/>
  <c r="H85" s="1"/>
  <c r="F84"/>
  <c r="G84" s="1"/>
  <c r="F83"/>
  <c r="G83" s="1"/>
  <c r="F82"/>
  <c r="E81"/>
  <c r="D81"/>
  <c r="C81"/>
  <c r="F80"/>
  <c r="G80" s="1"/>
  <c r="F78"/>
  <c r="G78" s="1"/>
  <c r="E77"/>
  <c r="D77"/>
  <c r="C77"/>
  <c r="F76"/>
  <c r="G76" s="1"/>
  <c r="H76" s="1"/>
  <c r="F75"/>
  <c r="G75" s="1"/>
  <c r="E74"/>
  <c r="D74"/>
  <c r="C74"/>
  <c r="F73"/>
  <c r="G73" s="1"/>
  <c r="H73" s="1"/>
  <c r="F72"/>
  <c r="G72" s="1"/>
  <c r="F70"/>
  <c r="E70"/>
  <c r="D70"/>
  <c r="C70"/>
  <c r="F69"/>
  <c r="F68" s="1"/>
  <c r="E68"/>
  <c r="E67" s="1"/>
  <c r="D68"/>
  <c r="D67" s="1"/>
  <c r="C68"/>
  <c r="C67" s="1"/>
  <c r="F65"/>
  <c r="E64"/>
  <c r="D64"/>
  <c r="C64"/>
  <c r="F63"/>
  <c r="G63" s="1"/>
  <c r="E62"/>
  <c r="F62" s="1"/>
  <c r="G62" s="1"/>
  <c r="F61"/>
  <c r="G61" s="1"/>
  <c r="F60"/>
  <c r="G60" s="1"/>
  <c r="F59"/>
  <c r="G59" s="1"/>
  <c r="E58"/>
  <c r="F58" s="1"/>
  <c r="G58" s="1"/>
  <c r="F57"/>
  <c r="G57" s="1"/>
  <c r="F56"/>
  <c r="G56" s="1"/>
  <c r="F55"/>
  <c r="G55" s="1"/>
  <c r="F54"/>
  <c r="G54" s="1"/>
  <c r="F53"/>
  <c r="G53" s="1"/>
  <c r="H53" s="1"/>
  <c r="F52"/>
  <c r="G52" s="1"/>
  <c r="F51"/>
  <c r="G51" s="1"/>
  <c r="F50"/>
  <c r="G50" s="1"/>
  <c r="F49"/>
  <c r="G49" s="1"/>
  <c r="F48"/>
  <c r="G48" s="1"/>
  <c r="D47"/>
  <c r="C47"/>
  <c r="F46"/>
  <c r="G46" s="1"/>
  <c r="F45"/>
  <c r="G45" s="1"/>
  <c r="F44"/>
  <c r="G44" s="1"/>
  <c r="F43"/>
  <c r="G43" s="1"/>
  <c r="F42"/>
  <c r="G42" s="1"/>
  <c r="E40"/>
  <c r="D40"/>
  <c r="C40"/>
  <c r="F38"/>
  <c r="G38" s="1"/>
  <c r="E37"/>
  <c r="E35" s="1"/>
  <c r="F36"/>
  <c r="G36" s="1"/>
  <c r="D35"/>
  <c r="C35"/>
  <c r="F34"/>
  <c r="G34" s="1"/>
  <c r="E32"/>
  <c r="F32" s="1"/>
  <c r="F31" s="1"/>
  <c r="D31"/>
  <c r="C31"/>
  <c r="F30"/>
  <c r="G30" s="1"/>
  <c r="F29"/>
  <c r="G29" s="1"/>
  <c r="E28"/>
  <c r="D28"/>
  <c r="C28"/>
  <c r="F27"/>
  <c r="G27" s="1"/>
  <c r="F26"/>
  <c r="G26" s="1"/>
  <c r="F25"/>
  <c r="G25" s="1"/>
  <c r="E24"/>
  <c r="D24"/>
  <c r="C24"/>
  <c r="F23"/>
  <c r="G23" s="1"/>
  <c r="G21" s="1"/>
  <c r="E21"/>
  <c r="D21"/>
  <c r="C21"/>
  <c r="F19"/>
  <c r="G19" s="1"/>
  <c r="F18"/>
  <c r="G18" s="1"/>
  <c r="F17"/>
  <c r="G17" s="1"/>
  <c r="E16"/>
  <c r="E15" s="1"/>
  <c r="E14" s="1"/>
  <c r="D16"/>
  <c r="D15" s="1"/>
  <c r="D14" s="1"/>
  <c r="C16"/>
  <c r="C15" s="1"/>
  <c r="C14" s="1"/>
  <c r="F13"/>
  <c r="G13" s="1"/>
  <c r="F12"/>
  <c r="G12" s="1"/>
  <c r="F11"/>
  <c r="G11" s="1"/>
  <c r="F10"/>
  <c r="G10" s="1"/>
  <c r="F9"/>
  <c r="G9" s="1"/>
  <c r="E8"/>
  <c r="D8"/>
  <c r="D7" s="1"/>
  <c r="C8"/>
  <c r="C7" s="1"/>
  <c r="E7"/>
  <c r="G47" l="1"/>
  <c r="G40"/>
  <c r="G28"/>
  <c r="G24"/>
  <c r="G20" s="1"/>
  <c r="G8"/>
  <c r="G7" s="1"/>
  <c r="G16"/>
  <c r="G15" s="1"/>
  <c r="G14" s="1"/>
  <c r="F185"/>
  <c r="G186"/>
  <c r="D331"/>
  <c r="D330" s="1"/>
  <c r="D329" s="1"/>
  <c r="D328" s="1"/>
  <c r="G356"/>
  <c r="H356" s="1"/>
  <c r="H355" s="1"/>
  <c r="H20"/>
  <c r="F64"/>
  <c r="G65"/>
  <c r="G64" s="1"/>
  <c r="F350"/>
  <c r="G350" s="1"/>
  <c r="G346" s="1"/>
  <c r="G351"/>
  <c r="F37"/>
  <c r="G37" s="1"/>
  <c r="G35" s="1"/>
  <c r="F155"/>
  <c r="F154" s="1"/>
  <c r="C170"/>
  <c r="G171"/>
  <c r="C91"/>
  <c r="E31"/>
  <c r="E91"/>
  <c r="E66" s="1"/>
  <c r="G134"/>
  <c r="G133" s="1"/>
  <c r="C234"/>
  <c r="E290"/>
  <c r="D91"/>
  <c r="D66" s="1"/>
  <c r="G82"/>
  <c r="H82" s="1"/>
  <c r="G200"/>
  <c r="H200" s="1"/>
  <c r="F77"/>
  <c r="F130"/>
  <c r="E224"/>
  <c r="E211" s="1"/>
  <c r="F334"/>
  <c r="F21"/>
  <c r="F93"/>
  <c r="G93" s="1"/>
  <c r="G92" s="1"/>
  <c r="H113"/>
  <c r="H160"/>
  <c r="H174"/>
  <c r="C211"/>
  <c r="E273"/>
  <c r="G121"/>
  <c r="H121" s="1"/>
  <c r="G147"/>
  <c r="H147" s="1"/>
  <c r="D188"/>
  <c r="H182"/>
  <c r="G39"/>
  <c r="F24"/>
  <c r="F102"/>
  <c r="F101" s="1"/>
  <c r="F205"/>
  <c r="D281"/>
  <c r="E308"/>
  <c r="E316"/>
  <c r="G107"/>
  <c r="G106" s="1"/>
  <c r="G190"/>
  <c r="H190" s="1"/>
  <c r="H39"/>
  <c r="H33" s="1"/>
  <c r="H83"/>
  <c r="H202"/>
  <c r="G202"/>
  <c r="G199" s="1"/>
  <c r="G320"/>
  <c r="H320" s="1"/>
  <c r="G245"/>
  <c r="F311"/>
  <c r="F308" s="1"/>
  <c r="G284"/>
  <c r="H284" s="1"/>
  <c r="G304"/>
  <c r="G303" s="1"/>
  <c r="H309"/>
  <c r="G309"/>
  <c r="F325"/>
  <c r="F319" s="1"/>
  <c r="G326"/>
  <c r="G325" s="1"/>
  <c r="E20"/>
  <c r="F40"/>
  <c r="E47"/>
  <c r="E39" s="1"/>
  <c r="E33" s="1"/>
  <c r="F81"/>
  <c r="C125"/>
  <c r="E137"/>
  <c r="G32"/>
  <c r="G31" s="1"/>
  <c r="G71"/>
  <c r="H71" s="1"/>
  <c r="H70" s="1"/>
  <c r="H88"/>
  <c r="H117"/>
  <c r="G120"/>
  <c r="G129"/>
  <c r="G128" s="1"/>
  <c r="G139"/>
  <c r="H140"/>
  <c r="H150"/>
  <c r="H158"/>
  <c r="H157" s="1"/>
  <c r="H156" s="1"/>
  <c r="G167"/>
  <c r="G166" s="1"/>
  <c r="G204"/>
  <c r="G203" s="1"/>
  <c r="G228"/>
  <c r="H228" s="1"/>
  <c r="H227" s="1"/>
  <c r="H231"/>
  <c r="H230" s="1"/>
  <c r="H238"/>
  <c r="H270"/>
  <c r="H269" s="1"/>
  <c r="G278"/>
  <c r="H278" s="1"/>
  <c r="G323"/>
  <c r="H323" s="1"/>
  <c r="G286"/>
  <c r="H286" s="1"/>
  <c r="F290"/>
  <c r="G291"/>
  <c r="H291" s="1"/>
  <c r="G297"/>
  <c r="H297" s="1"/>
  <c r="G102"/>
  <c r="G101" s="1"/>
  <c r="G243"/>
  <c r="G242" s="1"/>
  <c r="D20"/>
  <c r="F128"/>
  <c r="D211"/>
  <c r="E244"/>
  <c r="F249"/>
  <c r="F279"/>
  <c r="G69"/>
  <c r="H72"/>
  <c r="H75"/>
  <c r="H74" s="1"/>
  <c r="H78"/>
  <c r="G90"/>
  <c r="H90" s="1"/>
  <c r="H84"/>
  <c r="H94"/>
  <c r="G99"/>
  <c r="G97" s="1"/>
  <c r="G91" s="1"/>
  <c r="H109"/>
  <c r="H112"/>
  <c r="G131"/>
  <c r="H131" s="1"/>
  <c r="H136"/>
  <c r="H135" s="1"/>
  <c r="G142"/>
  <c r="H142" s="1"/>
  <c r="G152"/>
  <c r="H152" s="1"/>
  <c r="G127"/>
  <c r="G126" s="1"/>
  <c r="H164"/>
  <c r="H163" s="1"/>
  <c r="H162" s="1"/>
  <c r="H165"/>
  <c r="H172"/>
  <c r="H178"/>
  <c r="G192"/>
  <c r="G194"/>
  <c r="G206"/>
  <c r="H206" s="1"/>
  <c r="G208"/>
  <c r="H208" s="1"/>
  <c r="H212"/>
  <c r="H233"/>
  <c r="H232" s="1"/>
  <c r="H248"/>
  <c r="H245" s="1"/>
  <c r="G279"/>
  <c r="G292"/>
  <c r="H292" s="1"/>
  <c r="F295"/>
  <c r="G296"/>
  <c r="G295" s="1"/>
  <c r="G299"/>
  <c r="H299" s="1"/>
  <c r="G321"/>
  <c r="H321" s="1"/>
  <c r="F16"/>
  <c r="F15" s="1"/>
  <c r="F28"/>
  <c r="C39"/>
  <c r="C33" s="1"/>
  <c r="F106"/>
  <c r="E125"/>
  <c r="F135"/>
  <c r="D156"/>
  <c r="D145" s="1"/>
  <c r="E189"/>
  <c r="E199"/>
  <c r="F225"/>
  <c r="G225" s="1"/>
  <c r="F232"/>
  <c r="F227" s="1"/>
  <c r="D234"/>
  <c r="C281"/>
  <c r="C241" s="1"/>
  <c r="G79"/>
  <c r="H79" s="1"/>
  <c r="G155"/>
  <c r="G154" s="1"/>
  <c r="G153" s="1"/>
  <c r="G185"/>
  <c r="G240"/>
  <c r="G239" s="1"/>
  <c r="G234" s="1"/>
  <c r="H214"/>
  <c r="G214"/>
  <c r="H195"/>
  <c r="H191"/>
  <c r="H173"/>
  <c r="H132"/>
  <c r="H104"/>
  <c r="G74"/>
  <c r="C20"/>
  <c r="D125"/>
  <c r="F171"/>
  <c r="D244"/>
  <c r="E269"/>
  <c r="E251" s="1"/>
  <c r="D39"/>
  <c r="D33" s="1"/>
  <c r="C66"/>
  <c r="F97"/>
  <c r="F144"/>
  <c r="E156"/>
  <c r="E295"/>
  <c r="C307"/>
  <c r="C306" s="1"/>
  <c r="E325"/>
  <c r="E319" s="1"/>
  <c r="E331"/>
  <c r="E330" s="1"/>
  <c r="E329" s="1"/>
  <c r="E328" s="1"/>
  <c r="F157"/>
  <c r="D307"/>
  <c r="D306" s="1"/>
  <c r="F74"/>
  <c r="C156"/>
  <c r="C145" s="1"/>
  <c r="F166"/>
  <c r="D170"/>
  <c r="C188"/>
  <c r="F199"/>
  <c r="F214"/>
  <c r="F245"/>
  <c r="F275"/>
  <c r="G275" s="1"/>
  <c r="C331"/>
  <c r="C330" s="1"/>
  <c r="C329" s="1"/>
  <c r="C328" s="1"/>
  <c r="F14"/>
  <c r="F189"/>
  <c r="F235"/>
  <c r="F282"/>
  <c r="F312"/>
  <c r="F343"/>
  <c r="F346"/>
  <c r="F67"/>
  <c r="F163"/>
  <c r="F47"/>
  <c r="C137"/>
  <c r="F153"/>
  <c r="F8"/>
  <c r="F146"/>
  <c r="F160"/>
  <c r="E183"/>
  <c r="F183" s="1"/>
  <c r="F195"/>
  <c r="E282"/>
  <c r="E312"/>
  <c r="F339"/>
  <c r="F331" s="1"/>
  <c r="F355"/>
  <c r="F119"/>
  <c r="F177"/>
  <c r="E235"/>
  <c r="E234" s="1"/>
  <c r="E163"/>
  <c r="E162" s="1"/>
  <c r="F269"/>
  <c r="F316"/>
  <c r="E58" i="2"/>
  <c r="G330" i="18" l="1"/>
  <c r="H354"/>
  <c r="G355"/>
  <c r="H139"/>
  <c r="H138" s="1"/>
  <c r="G138"/>
  <c r="F224"/>
  <c r="F211" s="1"/>
  <c r="G77"/>
  <c r="H134"/>
  <c r="H133" s="1"/>
  <c r="H69"/>
  <c r="H68" s="1"/>
  <c r="G68"/>
  <c r="F35"/>
  <c r="G33"/>
  <c r="F244"/>
  <c r="H107"/>
  <c r="D6"/>
  <c r="F92"/>
  <c r="G119"/>
  <c r="G111" s="1"/>
  <c r="E6"/>
  <c r="H199"/>
  <c r="H171"/>
  <c r="H304"/>
  <c r="H303" s="1"/>
  <c r="H93"/>
  <c r="G319"/>
  <c r="E281"/>
  <c r="E241" s="1"/>
  <c r="E307"/>
  <c r="E306" s="1"/>
  <c r="H240"/>
  <c r="H239" s="1"/>
  <c r="H234" s="1"/>
  <c r="H205"/>
  <c r="F125"/>
  <c r="G70"/>
  <c r="G67" s="1"/>
  <c r="H177"/>
  <c r="G311"/>
  <c r="H311" s="1"/>
  <c r="H308" s="1"/>
  <c r="H129"/>
  <c r="H128" s="1"/>
  <c r="D241"/>
  <c r="G227"/>
  <c r="H204"/>
  <c r="H203" s="1"/>
  <c r="H32"/>
  <c r="H31" s="1"/>
  <c r="H6" s="1"/>
  <c r="F20"/>
  <c r="G189"/>
  <c r="H106"/>
  <c r="H81"/>
  <c r="H102"/>
  <c r="H101" s="1"/>
  <c r="H99"/>
  <c r="H97" s="1"/>
  <c r="C6"/>
  <c r="H77"/>
  <c r="H296"/>
  <c r="H295" s="1"/>
  <c r="H146"/>
  <c r="H92"/>
  <c r="G6"/>
  <c r="G81"/>
  <c r="H224"/>
  <c r="H211" s="1"/>
  <c r="G224"/>
  <c r="G211" s="1"/>
  <c r="F273"/>
  <c r="G144"/>
  <c r="G137" s="1"/>
  <c r="H130"/>
  <c r="H185"/>
  <c r="H67"/>
  <c r="H120"/>
  <c r="H119" s="1"/>
  <c r="H111" s="1"/>
  <c r="G146"/>
  <c r="H192"/>
  <c r="H279"/>
  <c r="G130"/>
  <c r="G125" s="1"/>
  <c r="G177"/>
  <c r="G170" s="1"/>
  <c r="G205"/>
  <c r="H155"/>
  <c r="H154" s="1"/>
  <c r="H153" s="1"/>
  <c r="G290"/>
  <c r="H243"/>
  <c r="H242" s="1"/>
  <c r="H167"/>
  <c r="H166" s="1"/>
  <c r="G193"/>
  <c r="H194"/>
  <c r="H193" s="1"/>
  <c r="H189"/>
  <c r="F137"/>
  <c r="E188"/>
  <c r="H290"/>
  <c r="H326"/>
  <c r="H325" s="1"/>
  <c r="H319" s="1"/>
  <c r="D123"/>
  <c r="D359" s="1"/>
  <c r="C123"/>
  <c r="E145"/>
  <c r="F188"/>
  <c r="F354"/>
  <c r="F234"/>
  <c r="F170"/>
  <c r="F39"/>
  <c r="F156"/>
  <c r="G156" s="1"/>
  <c r="F111"/>
  <c r="F307"/>
  <c r="F7"/>
  <c r="F91"/>
  <c r="F162"/>
  <c r="F281"/>
  <c r="E170"/>
  <c r="F251"/>
  <c r="G251" s="1"/>
  <c r="E310" i="2"/>
  <c r="E155"/>
  <c r="E165"/>
  <c r="G149"/>
  <c r="G148"/>
  <c r="G329" i="18" l="1"/>
  <c r="G354"/>
  <c r="G353" s="1"/>
  <c r="H353"/>
  <c r="G145"/>
  <c r="H170"/>
  <c r="H145"/>
  <c r="G308"/>
  <c r="H125"/>
  <c r="H144"/>
  <c r="H137" s="1"/>
  <c r="E123"/>
  <c r="E359" s="1"/>
  <c r="C359"/>
  <c r="G66"/>
  <c r="H91"/>
  <c r="H66" s="1"/>
  <c r="H307"/>
  <c r="H306" s="1"/>
  <c r="H188"/>
  <c r="H273"/>
  <c r="G273"/>
  <c r="G188"/>
  <c r="F306"/>
  <c r="F353"/>
  <c r="F66"/>
  <c r="F241"/>
  <c r="F33"/>
  <c r="F330"/>
  <c r="F329" s="1"/>
  <c r="F145"/>
  <c r="E299" i="2"/>
  <c r="E296"/>
  <c r="E263"/>
  <c r="E164"/>
  <c r="G328" i="18" l="1"/>
  <c r="G307"/>
  <c r="F6"/>
  <c r="F123"/>
  <c r="F207" i="2"/>
  <c r="F209"/>
  <c r="E199"/>
  <c r="F202"/>
  <c r="G202" s="1"/>
  <c r="F201"/>
  <c r="G201" s="1"/>
  <c r="F55"/>
  <c r="D355"/>
  <c r="D199"/>
  <c r="E349"/>
  <c r="F349" s="1"/>
  <c r="G349" s="1"/>
  <c r="E335"/>
  <c r="D335"/>
  <c r="C335"/>
  <c r="F342"/>
  <c r="F341" s="1"/>
  <c r="F340"/>
  <c r="F333"/>
  <c r="G333" s="1"/>
  <c r="F262"/>
  <c r="F261"/>
  <c r="F260"/>
  <c r="F259"/>
  <c r="F258"/>
  <c r="F257"/>
  <c r="F256"/>
  <c r="F255"/>
  <c r="F254"/>
  <c r="E203"/>
  <c r="E192"/>
  <c r="F192" s="1"/>
  <c r="F179"/>
  <c r="G179" s="1"/>
  <c r="F63"/>
  <c r="F26"/>
  <c r="E193"/>
  <c r="E185"/>
  <c r="E138"/>
  <c r="E126"/>
  <c r="E119"/>
  <c r="E111" s="1"/>
  <c r="E102"/>
  <c r="E101" s="1"/>
  <c r="E74"/>
  <c r="E62"/>
  <c r="E47" s="1"/>
  <c r="F59"/>
  <c r="E355"/>
  <c r="E354" s="1"/>
  <c r="E353" s="1"/>
  <c r="E348"/>
  <c r="F348" s="1"/>
  <c r="G348" s="1"/>
  <c r="E347"/>
  <c r="F347" s="1"/>
  <c r="G347" s="1"/>
  <c r="F352"/>
  <c r="G352" s="1"/>
  <c r="F351"/>
  <c r="F345"/>
  <c r="G345" s="1"/>
  <c r="E322"/>
  <c r="F322" s="1"/>
  <c r="G322" s="1"/>
  <c r="E320"/>
  <c r="E318"/>
  <c r="E315"/>
  <c r="F315" s="1"/>
  <c r="G315" s="1"/>
  <c r="E314"/>
  <c r="F314" s="1"/>
  <c r="G314" s="1"/>
  <c r="E311"/>
  <c r="E309"/>
  <c r="E300"/>
  <c r="E297"/>
  <c r="F297" s="1"/>
  <c r="G297" s="1"/>
  <c r="F296"/>
  <c r="E294"/>
  <c r="E286"/>
  <c r="F286" s="1"/>
  <c r="G286" s="1"/>
  <c r="E279"/>
  <c r="E277"/>
  <c r="F272"/>
  <c r="G272" s="1"/>
  <c r="E271"/>
  <c r="F271" s="1"/>
  <c r="E270"/>
  <c r="F270" s="1"/>
  <c r="E268"/>
  <c r="F268" s="1"/>
  <c r="G268" s="1"/>
  <c r="F267"/>
  <c r="G267" s="1"/>
  <c r="F266"/>
  <c r="G266" s="1"/>
  <c r="F265"/>
  <c r="G265" s="1"/>
  <c r="F264"/>
  <c r="G264" s="1"/>
  <c r="F263"/>
  <c r="G263" s="1"/>
  <c r="E252"/>
  <c r="F252" s="1"/>
  <c r="F250"/>
  <c r="E239"/>
  <c r="E237"/>
  <c r="E230"/>
  <c r="E226"/>
  <c r="E225"/>
  <c r="E222"/>
  <c r="E221"/>
  <c r="E210"/>
  <c r="F208"/>
  <c r="G208" s="1"/>
  <c r="D183"/>
  <c r="E184"/>
  <c r="E183" s="1"/>
  <c r="E37"/>
  <c r="F27"/>
  <c r="E24"/>
  <c r="F25"/>
  <c r="F23"/>
  <c r="E160"/>
  <c r="E157"/>
  <c r="E154"/>
  <c r="E153" s="1"/>
  <c r="F152"/>
  <c r="G152" s="1"/>
  <c r="F151"/>
  <c r="G151" s="1"/>
  <c r="F150"/>
  <c r="G150" s="1"/>
  <c r="F147"/>
  <c r="G147" s="1"/>
  <c r="G55" l="1"/>
  <c r="G59"/>
  <c r="G306" i="18"/>
  <c r="F328"/>
  <c r="E205" i="2"/>
  <c r="E290"/>
  <c r="E344"/>
  <c r="E343" s="1"/>
  <c r="E350"/>
  <c r="E346" s="1"/>
  <c r="E295"/>
  <c r="E177"/>
  <c r="E171"/>
  <c r="E166"/>
  <c r="F350"/>
  <c r="G351"/>
  <c r="F269"/>
  <c r="F251" s="1"/>
  <c r="F24"/>
  <c r="F183"/>
  <c r="E269"/>
  <c r="E251" s="1"/>
  <c r="F184"/>
  <c r="G184" s="1"/>
  <c r="E146"/>
  <c r="G192"/>
  <c r="F344"/>
  <c r="E156"/>
  <c r="E308"/>
  <c r="F359" i="18" l="1"/>
  <c r="E170" i="2"/>
  <c r="F343"/>
  <c r="F346"/>
  <c r="F9"/>
  <c r="E144"/>
  <c r="F116"/>
  <c r="G116" s="1"/>
  <c r="F86"/>
  <c r="G86" s="1"/>
  <c r="F85"/>
  <c r="G85" s="1"/>
  <c r="F78"/>
  <c r="G78" s="1"/>
  <c r="C346"/>
  <c r="C350"/>
  <c r="G350" s="1"/>
  <c r="C344"/>
  <c r="G344" s="1"/>
  <c r="D344"/>
  <c r="D343" s="1"/>
  <c r="C316"/>
  <c r="D312"/>
  <c r="C312"/>
  <c r="C308"/>
  <c r="D290"/>
  <c r="C290"/>
  <c r="D282"/>
  <c r="C282"/>
  <c r="C281" s="1"/>
  <c r="D273"/>
  <c r="C273"/>
  <c r="C269"/>
  <c r="C251" s="1"/>
  <c r="D245"/>
  <c r="D189"/>
  <c r="C189"/>
  <c r="D177"/>
  <c r="D171"/>
  <c r="C171"/>
  <c r="D146"/>
  <c r="C146"/>
  <c r="C106"/>
  <c r="D106"/>
  <c r="D102"/>
  <c r="C102"/>
  <c r="D92"/>
  <c r="C92"/>
  <c r="D77"/>
  <c r="C64"/>
  <c r="D47"/>
  <c r="C47"/>
  <c r="C31"/>
  <c r="C343" l="1"/>
  <c r="E137"/>
  <c r="D281"/>
  <c r="G343"/>
  <c r="D166" l="1"/>
  <c r="D350" l="1"/>
  <c r="D346" s="1"/>
  <c r="D308" l="1"/>
  <c r="D269" l="1"/>
  <c r="D251" s="1"/>
  <c r="D249" l="1"/>
  <c r="D214"/>
  <c r="C177"/>
  <c r="C183"/>
  <c r="G183" s="1"/>
  <c r="D185"/>
  <c r="D170" s="1"/>
  <c r="C185"/>
  <c r="D244" l="1"/>
  <c r="C170"/>
  <c r="D157"/>
  <c r="D138" l="1"/>
  <c r="D119" l="1"/>
  <c r="D111" s="1"/>
  <c r="D97"/>
  <c r="D91" s="1"/>
  <c r="D40"/>
  <c r="C245"/>
  <c r="C244" s="1"/>
  <c r="C97"/>
  <c r="C91" s="1"/>
  <c r="C214"/>
  <c r="D160"/>
  <c r="D156" s="1"/>
  <c r="D224"/>
  <c r="D211" s="1"/>
  <c r="C224"/>
  <c r="C205"/>
  <c r="D205"/>
  <c r="D195"/>
  <c r="C195"/>
  <c r="D130"/>
  <c r="C119"/>
  <c r="C111" s="1"/>
  <c r="D101"/>
  <c r="C101"/>
  <c r="D81"/>
  <c r="C81"/>
  <c r="C77"/>
  <c r="D74"/>
  <c r="D64"/>
  <c r="D35"/>
  <c r="D28"/>
  <c r="D24"/>
  <c r="C8"/>
  <c r="C7" s="1"/>
  <c r="E313"/>
  <c r="E312" s="1"/>
  <c r="F287"/>
  <c r="G287" s="1"/>
  <c r="C16"/>
  <c r="C15" s="1"/>
  <c r="C14" s="1"/>
  <c r="F180"/>
  <c r="G180" s="1"/>
  <c r="C160"/>
  <c r="D154"/>
  <c r="D153" s="1"/>
  <c r="C154"/>
  <c r="C153" s="1"/>
  <c r="F34"/>
  <c r="D16"/>
  <c r="D15" s="1"/>
  <c r="D14" s="1"/>
  <c r="C21"/>
  <c r="D21"/>
  <c r="C24"/>
  <c r="C28"/>
  <c r="C35"/>
  <c r="C40"/>
  <c r="F236"/>
  <c r="G236" s="1"/>
  <c r="F320"/>
  <c r="F310"/>
  <c r="E77"/>
  <c r="F229"/>
  <c r="G229" s="1"/>
  <c r="F197"/>
  <c r="G197" s="1"/>
  <c r="F191"/>
  <c r="G191" s="1"/>
  <c r="F142"/>
  <c r="G142" s="1"/>
  <c r="F112"/>
  <c r="G112" s="1"/>
  <c r="F73"/>
  <c r="G73" s="1"/>
  <c r="F72"/>
  <c r="G72" s="1"/>
  <c r="F54"/>
  <c r="G54" s="1"/>
  <c r="G63"/>
  <c r="G122"/>
  <c r="G124"/>
  <c r="G302"/>
  <c r="G327"/>
  <c r="G340"/>
  <c r="G342"/>
  <c r="F56"/>
  <c r="G56" s="1"/>
  <c r="F61"/>
  <c r="G61" s="1"/>
  <c r="F57"/>
  <c r="G57" s="1"/>
  <c r="F17"/>
  <c r="F18"/>
  <c r="F334"/>
  <c r="G334" s="1"/>
  <c r="F220"/>
  <c r="G220" s="1"/>
  <c r="F247"/>
  <c r="G247" s="1"/>
  <c r="F98"/>
  <c r="G27"/>
  <c r="F50"/>
  <c r="E35"/>
  <c r="G25"/>
  <c r="F43"/>
  <c r="F65"/>
  <c r="G26"/>
  <c r="F30"/>
  <c r="E8"/>
  <c r="E7" s="1"/>
  <c r="F332"/>
  <c r="F311"/>
  <c r="G311" s="1"/>
  <c r="G258"/>
  <c r="E245"/>
  <c r="F243"/>
  <c r="F242" s="1"/>
  <c r="F237"/>
  <c r="E232"/>
  <c r="E227" s="1"/>
  <c r="F228"/>
  <c r="F212"/>
  <c r="G212" s="1"/>
  <c r="G207"/>
  <c r="F206"/>
  <c r="F200"/>
  <c r="F198"/>
  <c r="G198" s="1"/>
  <c r="F194"/>
  <c r="G194" s="1"/>
  <c r="F186"/>
  <c r="F182"/>
  <c r="G182" s="1"/>
  <c r="F181"/>
  <c r="G181" s="1"/>
  <c r="F144"/>
  <c r="G144" s="1"/>
  <c r="F140"/>
  <c r="G140" s="1"/>
  <c r="F60"/>
  <c r="G60" s="1"/>
  <c r="F58"/>
  <c r="G58" s="1"/>
  <c r="F13"/>
  <c r="G13" s="1"/>
  <c r="F49"/>
  <c r="F45"/>
  <c r="F32"/>
  <c r="G23"/>
  <c r="F62"/>
  <c r="G62" s="1"/>
  <c r="F53"/>
  <c r="F52"/>
  <c r="F51"/>
  <c r="F48"/>
  <c r="F46"/>
  <c r="F44"/>
  <c r="F42"/>
  <c r="F37"/>
  <c r="G37" s="1"/>
  <c r="F36"/>
  <c r="G22"/>
  <c r="F19"/>
  <c r="F10"/>
  <c r="F12"/>
  <c r="G9"/>
  <c r="F357"/>
  <c r="G357" s="1"/>
  <c r="E341"/>
  <c r="F339"/>
  <c r="E339"/>
  <c r="F337"/>
  <c r="G337" s="1"/>
  <c r="F338"/>
  <c r="G338" s="1"/>
  <c r="F336"/>
  <c r="F356"/>
  <c r="G356" s="1"/>
  <c r="E324"/>
  <c r="E323"/>
  <c r="F318"/>
  <c r="G318" s="1"/>
  <c r="F317"/>
  <c r="G317" s="1"/>
  <c r="E316"/>
  <c r="F309"/>
  <c r="F300"/>
  <c r="G300" s="1"/>
  <c r="F299"/>
  <c r="G299" s="1"/>
  <c r="E298"/>
  <c r="F298" s="1"/>
  <c r="G298" s="1"/>
  <c r="F294"/>
  <c r="F293"/>
  <c r="G293" s="1"/>
  <c r="F292"/>
  <c r="G292" s="1"/>
  <c r="F291"/>
  <c r="F289"/>
  <c r="G289" s="1"/>
  <c r="F288"/>
  <c r="G288" s="1"/>
  <c r="E285"/>
  <c r="F285" s="1"/>
  <c r="G285" s="1"/>
  <c r="F283"/>
  <c r="F280"/>
  <c r="F279" s="1"/>
  <c r="F278"/>
  <c r="G278" s="1"/>
  <c r="F277"/>
  <c r="G277" s="1"/>
  <c r="F276"/>
  <c r="G276" s="1"/>
  <c r="F275"/>
  <c r="G275" s="1"/>
  <c r="G271"/>
  <c r="G262"/>
  <c r="G261"/>
  <c r="G260"/>
  <c r="G259"/>
  <c r="G257"/>
  <c r="G256"/>
  <c r="G254"/>
  <c r="E253"/>
  <c r="E249"/>
  <c r="F249" s="1"/>
  <c r="G249" s="1"/>
  <c r="E238"/>
  <c r="F238" s="1"/>
  <c r="G238" s="1"/>
  <c r="F226"/>
  <c r="G226" s="1"/>
  <c r="F225"/>
  <c r="E223"/>
  <c r="F223" s="1"/>
  <c r="G223" s="1"/>
  <c r="F222"/>
  <c r="G222" s="1"/>
  <c r="F221"/>
  <c r="G221" s="1"/>
  <c r="F219"/>
  <c r="G219" s="1"/>
  <c r="E218"/>
  <c r="F218" s="1"/>
  <c r="G218" s="1"/>
  <c r="F217"/>
  <c r="G217" s="1"/>
  <c r="E216"/>
  <c r="F215"/>
  <c r="F213"/>
  <c r="G213" s="1"/>
  <c r="F210"/>
  <c r="G210" s="1"/>
  <c r="F178"/>
  <c r="F176"/>
  <c r="G176" s="1"/>
  <c r="F175"/>
  <c r="G175" s="1"/>
  <c r="F174"/>
  <c r="G174" s="1"/>
  <c r="F169"/>
  <c r="G169" s="1"/>
  <c r="F168"/>
  <c r="F167"/>
  <c r="F165"/>
  <c r="G165" s="1"/>
  <c r="F164"/>
  <c r="G164" s="1"/>
  <c r="E163"/>
  <c r="E162" s="1"/>
  <c r="E145" s="1"/>
  <c r="F161"/>
  <c r="F159"/>
  <c r="G159" s="1"/>
  <c r="F158"/>
  <c r="G158" s="1"/>
  <c r="F149"/>
  <c r="F143"/>
  <c r="G143" s="1"/>
  <c r="F141"/>
  <c r="G141" s="1"/>
  <c r="E135"/>
  <c r="F134"/>
  <c r="F133" s="1"/>
  <c r="E130"/>
  <c r="F131"/>
  <c r="G131" s="1"/>
  <c r="E128"/>
  <c r="F129"/>
  <c r="F128" s="1"/>
  <c r="F121"/>
  <c r="G121" s="1"/>
  <c r="F118"/>
  <c r="G118" s="1"/>
  <c r="F117"/>
  <c r="G117" s="1"/>
  <c r="F115"/>
  <c r="G115" s="1"/>
  <c r="F114"/>
  <c r="G114" s="1"/>
  <c r="F113"/>
  <c r="G113" s="1"/>
  <c r="F110"/>
  <c r="G110" s="1"/>
  <c r="F109"/>
  <c r="G109" s="1"/>
  <c r="F108"/>
  <c r="G108" s="1"/>
  <c r="F107"/>
  <c r="F105"/>
  <c r="G105" s="1"/>
  <c r="F104"/>
  <c r="G104" s="1"/>
  <c r="F100"/>
  <c r="G100" s="1"/>
  <c r="F99"/>
  <c r="G99" s="1"/>
  <c r="F96"/>
  <c r="G96" s="1"/>
  <c r="E92"/>
  <c r="F94"/>
  <c r="G94" s="1"/>
  <c r="F93"/>
  <c r="G93" s="1"/>
  <c r="F90"/>
  <c r="G90" s="1"/>
  <c r="F89"/>
  <c r="G89" s="1"/>
  <c r="F88"/>
  <c r="G88" s="1"/>
  <c r="F84"/>
  <c r="G84" s="1"/>
  <c r="F83"/>
  <c r="G83" s="1"/>
  <c r="F82"/>
  <c r="G82" s="1"/>
  <c r="F79"/>
  <c r="F76"/>
  <c r="G76" s="1"/>
  <c r="F75"/>
  <c r="F71"/>
  <c r="G71" s="1"/>
  <c r="F69"/>
  <c r="G69" s="1"/>
  <c r="E70"/>
  <c r="E68"/>
  <c r="D295"/>
  <c r="C295"/>
  <c r="D325"/>
  <c r="D319" s="1"/>
  <c r="D303"/>
  <c r="C303"/>
  <c r="D279"/>
  <c r="C279"/>
  <c r="D242"/>
  <c r="D241" s="1"/>
  <c r="C242"/>
  <c r="D239"/>
  <c r="C239"/>
  <c r="D235"/>
  <c r="D234" s="1"/>
  <c r="C235"/>
  <c r="D232"/>
  <c r="C232"/>
  <c r="D230"/>
  <c r="D227" s="1"/>
  <c r="C230"/>
  <c r="D203"/>
  <c r="C203"/>
  <c r="C199"/>
  <c r="D193"/>
  <c r="C193"/>
  <c r="C166"/>
  <c r="D163"/>
  <c r="D162" s="1"/>
  <c r="C163"/>
  <c r="C162" s="1"/>
  <c r="C157"/>
  <c r="C156" s="1"/>
  <c r="D137"/>
  <c r="C138"/>
  <c r="C137" s="1"/>
  <c r="D135"/>
  <c r="C135"/>
  <c r="D133"/>
  <c r="C133"/>
  <c r="C130"/>
  <c r="D128"/>
  <c r="C128"/>
  <c r="D126"/>
  <c r="C126"/>
  <c r="C325"/>
  <c r="C319" s="1"/>
  <c r="C307" s="1"/>
  <c r="C306" s="1"/>
  <c r="D316"/>
  <c r="D341"/>
  <c r="C341"/>
  <c r="D339"/>
  <c r="C339"/>
  <c r="C331" s="1"/>
  <c r="D354"/>
  <c r="D353" s="1"/>
  <c r="C354"/>
  <c r="C353" s="1"/>
  <c r="C68"/>
  <c r="D68"/>
  <c r="C74"/>
  <c r="D70"/>
  <c r="C70"/>
  <c r="D31"/>
  <c r="D8"/>
  <c r="D7" s="1"/>
  <c r="E224"/>
  <c r="F172"/>
  <c r="F136"/>
  <c r="F135" s="1"/>
  <c r="F321"/>
  <c r="G321" s="1"/>
  <c r="E21"/>
  <c r="F246"/>
  <c r="G246" s="1"/>
  <c r="F233"/>
  <c r="G233" s="1"/>
  <c r="F231"/>
  <c r="F230" s="1"/>
  <c r="G255"/>
  <c r="E133"/>
  <c r="G209"/>
  <c r="F127"/>
  <c r="G127" s="1"/>
  <c r="G250"/>
  <c r="F324"/>
  <c r="G324" s="1"/>
  <c r="F64" l="1"/>
  <c r="G53"/>
  <c r="G52"/>
  <c r="G51"/>
  <c r="G49"/>
  <c r="G45"/>
  <c r="G44"/>
  <c r="G42"/>
  <c r="G36"/>
  <c r="G34"/>
  <c r="G19"/>
  <c r="G18"/>
  <c r="G17"/>
  <c r="G12"/>
  <c r="G46"/>
  <c r="G50"/>
  <c r="G43"/>
  <c r="G30"/>
  <c r="G200"/>
  <c r="F199"/>
  <c r="G199" s="1"/>
  <c r="E331"/>
  <c r="E330" s="1"/>
  <c r="E329" s="1"/>
  <c r="E328" s="1"/>
  <c r="F355"/>
  <c r="G355" s="1"/>
  <c r="D331"/>
  <c r="D330" s="1"/>
  <c r="D329" s="1"/>
  <c r="D328" s="1"/>
  <c r="C188"/>
  <c r="D307"/>
  <c r="D306" s="1"/>
  <c r="E67"/>
  <c r="F80"/>
  <c r="G80" s="1"/>
  <c r="G230"/>
  <c r="F106"/>
  <c r="G106" s="1"/>
  <c r="E189"/>
  <c r="D20"/>
  <c r="G79"/>
  <c r="F87"/>
  <c r="G87" s="1"/>
  <c r="E81"/>
  <c r="F216"/>
  <c r="G216" s="1"/>
  <c r="E214"/>
  <c r="E211" s="1"/>
  <c r="F274"/>
  <c r="F273" s="1"/>
  <c r="G273" s="1"/>
  <c r="E273"/>
  <c r="C125"/>
  <c r="D188"/>
  <c r="F97"/>
  <c r="G97" s="1"/>
  <c r="G172"/>
  <c r="G178"/>
  <c r="F177"/>
  <c r="G177" s="1"/>
  <c r="G215"/>
  <c r="G253"/>
  <c r="F253"/>
  <c r="F284"/>
  <c r="G284" s="1"/>
  <c r="E282"/>
  <c r="E281" s="1"/>
  <c r="G291"/>
  <c r="F290"/>
  <c r="G290" s="1"/>
  <c r="G309"/>
  <c r="F308"/>
  <c r="G308" s="1"/>
  <c r="F323"/>
  <c r="G323" s="1"/>
  <c r="G336"/>
  <c r="F335"/>
  <c r="F331" s="1"/>
  <c r="F330" s="1"/>
  <c r="F329" s="1"/>
  <c r="F328" s="1"/>
  <c r="G32"/>
  <c r="F31"/>
  <c r="F41"/>
  <c r="E40"/>
  <c r="E39" s="1"/>
  <c r="G206"/>
  <c r="F205"/>
  <c r="E125"/>
  <c r="C20"/>
  <c r="D145"/>
  <c r="G75"/>
  <c r="F74"/>
  <c r="G74" s="1"/>
  <c r="G283"/>
  <c r="F304"/>
  <c r="G304" s="1"/>
  <c r="E303"/>
  <c r="G186"/>
  <c r="F185"/>
  <c r="G185" s="1"/>
  <c r="G228"/>
  <c r="C145"/>
  <c r="G161"/>
  <c r="F160"/>
  <c r="G160" s="1"/>
  <c r="G167"/>
  <c r="F166"/>
  <c r="G166" s="1"/>
  <c r="F326"/>
  <c r="F325" s="1"/>
  <c r="G325" s="1"/>
  <c r="E325"/>
  <c r="E319" s="1"/>
  <c r="E307" s="1"/>
  <c r="E306" s="1"/>
  <c r="G10"/>
  <c r="G48"/>
  <c r="F47"/>
  <c r="F196"/>
  <c r="G196" s="1"/>
  <c r="E195"/>
  <c r="G332"/>
  <c r="G320"/>
  <c r="D125"/>
  <c r="C227"/>
  <c r="C234"/>
  <c r="C241"/>
  <c r="C211"/>
  <c r="E244"/>
  <c r="E235"/>
  <c r="E234" s="1"/>
  <c r="C39"/>
  <c r="C33" s="1"/>
  <c r="C6" s="1"/>
  <c r="G341"/>
  <c r="G251"/>
  <c r="F120"/>
  <c r="F11"/>
  <c r="F148"/>
  <c r="G129"/>
  <c r="F132"/>
  <c r="G132" s="1"/>
  <c r="G269"/>
  <c r="F313"/>
  <c r="F16"/>
  <c r="E242"/>
  <c r="F126"/>
  <c r="G279"/>
  <c r="F68"/>
  <c r="F232"/>
  <c r="G232" s="1"/>
  <c r="F316"/>
  <c r="G316" s="1"/>
  <c r="G252"/>
  <c r="G339"/>
  <c r="F155"/>
  <c r="C330"/>
  <c r="G242"/>
  <c r="F38"/>
  <c r="F224"/>
  <c r="G224" s="1"/>
  <c r="D39"/>
  <c r="D33" s="1"/>
  <c r="C67"/>
  <c r="C66" s="1"/>
  <c r="F193"/>
  <c r="G193" s="1"/>
  <c r="F70"/>
  <c r="G70" s="1"/>
  <c r="E16"/>
  <c r="E15" s="1"/>
  <c r="E14" s="1"/>
  <c r="F204"/>
  <c r="F203" s="1"/>
  <c r="G203" s="1"/>
  <c r="G134"/>
  <c r="G168"/>
  <c r="G135"/>
  <c r="F103"/>
  <c r="F157"/>
  <c r="E106"/>
  <c r="G237"/>
  <c r="F235"/>
  <c r="G98"/>
  <c r="F29"/>
  <c r="E28"/>
  <c r="G107"/>
  <c r="G280"/>
  <c r="G225"/>
  <c r="F173"/>
  <c r="G173" s="1"/>
  <c r="F95"/>
  <c r="G95" s="1"/>
  <c r="G24"/>
  <c r="F163"/>
  <c r="F162" s="1"/>
  <c r="G162" s="1"/>
  <c r="G65"/>
  <c r="G136"/>
  <c r="E97"/>
  <c r="E91" s="1"/>
  <c r="F248"/>
  <c r="G248" s="1"/>
  <c r="G243"/>
  <c r="G310"/>
  <c r="F21"/>
  <c r="G231"/>
  <c r="E64"/>
  <c r="F190"/>
  <c r="E31"/>
  <c r="F240"/>
  <c r="F139"/>
  <c r="F81"/>
  <c r="G81" s="1"/>
  <c r="D67"/>
  <c r="D66" s="1"/>
  <c r="G133"/>
  <c r="G128"/>
  <c r="G270"/>
  <c r="G64" l="1"/>
  <c r="F35"/>
  <c r="G35"/>
  <c r="G31"/>
  <c r="F28"/>
  <c r="F15"/>
  <c r="F8"/>
  <c r="F7" s="1"/>
  <c r="F195"/>
  <c r="G195" s="1"/>
  <c r="F214"/>
  <c r="F211" s="1"/>
  <c r="G211" s="1"/>
  <c r="G205"/>
  <c r="F354"/>
  <c r="F353" s="1"/>
  <c r="F303"/>
  <c r="G303" s="1"/>
  <c r="G326"/>
  <c r="E188"/>
  <c r="F319"/>
  <c r="G319" s="1"/>
  <c r="F282"/>
  <c r="F281" s="1"/>
  <c r="G281" s="1"/>
  <c r="F77"/>
  <c r="G77" s="1"/>
  <c r="F171"/>
  <c r="F170" s="1"/>
  <c r="E66"/>
  <c r="D6"/>
  <c r="G16"/>
  <c r="E33"/>
  <c r="E20"/>
  <c r="G126"/>
  <c r="G313"/>
  <c r="F312"/>
  <c r="G312" s="1"/>
  <c r="F146"/>
  <c r="G146" s="1"/>
  <c r="G120"/>
  <c r="F119"/>
  <c r="F111" s="1"/>
  <c r="F189"/>
  <c r="F227"/>
  <c r="G227" s="1"/>
  <c r="G335"/>
  <c r="G274"/>
  <c r="D123"/>
  <c r="G21"/>
  <c r="F20"/>
  <c r="G68"/>
  <c r="F67"/>
  <c r="G67" s="1"/>
  <c r="G41"/>
  <c r="F40"/>
  <c r="E241"/>
  <c r="C123"/>
  <c r="F156"/>
  <c r="G156" s="1"/>
  <c r="G155"/>
  <c r="F154"/>
  <c r="G154" s="1"/>
  <c r="C329"/>
  <c r="C328" s="1"/>
  <c r="F130"/>
  <c r="G130" s="1"/>
  <c r="G38"/>
  <c r="G11"/>
  <c r="G204"/>
  <c r="G163"/>
  <c r="G157"/>
  <c r="F102"/>
  <c r="F101" s="1"/>
  <c r="G103"/>
  <c r="G190"/>
  <c r="G240"/>
  <c r="F239"/>
  <c r="G239" s="1"/>
  <c r="F92"/>
  <c r="F91" s="1"/>
  <c r="G29"/>
  <c r="G235"/>
  <c r="F138"/>
  <c r="F137" s="1"/>
  <c r="G139"/>
  <c r="F245"/>
  <c r="G47"/>
  <c r="G15" l="1"/>
  <c r="F14"/>
  <c r="G8"/>
  <c r="G214"/>
  <c r="F188"/>
  <c r="G188" s="1"/>
  <c r="G354"/>
  <c r="E123"/>
  <c r="C359"/>
  <c r="G282"/>
  <c r="E6"/>
  <c r="G189"/>
  <c r="G171"/>
  <c r="D359"/>
  <c r="G245"/>
  <c r="F244"/>
  <c r="F241" s="1"/>
  <c r="F39"/>
  <c r="G40"/>
  <c r="F307"/>
  <c r="F234"/>
  <c r="G234" s="1"/>
  <c r="F153"/>
  <c r="G153" s="1"/>
  <c r="F125"/>
  <c r="G119"/>
  <c r="F66"/>
  <c r="G7"/>
  <c r="G170"/>
  <c r="G111"/>
  <c r="G331"/>
  <c r="G101"/>
  <c r="G102"/>
  <c r="G296"/>
  <c r="F295"/>
  <c r="G295" s="1"/>
  <c r="G92"/>
  <c r="G28"/>
  <c r="G20"/>
  <c r="G137"/>
  <c r="G138"/>
  <c r="G330"/>
  <c r="G14" l="1"/>
  <c r="G244"/>
  <c r="G125"/>
  <c r="E359"/>
  <c r="F33"/>
  <c r="F145"/>
  <c r="G145" s="1"/>
  <c r="G39"/>
  <c r="F306"/>
  <c r="G306" s="1"/>
  <c r="G307"/>
  <c r="G91"/>
  <c r="G66"/>
  <c r="G329"/>
  <c r="F123" l="1"/>
  <c r="G123" s="1"/>
  <c r="F6"/>
  <c r="G33"/>
  <c r="G241"/>
  <c r="G328"/>
  <c r="G6" l="1"/>
  <c r="F359"/>
  <c r="G359" l="1"/>
  <c r="G282" i="18" l="1"/>
  <c r="G281" l="1"/>
  <c r="H282"/>
  <c r="H281" s="1"/>
  <c r="G244" l="1"/>
  <c r="H244"/>
  <c r="H241" s="1"/>
  <c r="H123" s="1"/>
  <c r="H359" s="1"/>
  <c r="G241" l="1"/>
  <c r="G123" l="1"/>
  <c r="G359" l="1"/>
</calcChain>
</file>

<file path=xl/sharedStrings.xml><?xml version="1.0" encoding="utf-8"?>
<sst xmlns="http://schemas.openxmlformats.org/spreadsheetml/2006/main" count="2098" uniqueCount="706">
  <si>
    <t>Concepto</t>
  </si>
  <si>
    <t>SERVICIOS PERSONALES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</si>
  <si>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</si>
  <si>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</si>
  <si>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</si>
  <si>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</si>
  <si>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</si>
  <si>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</si>
  <si>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</si>
  <si>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</si>
  <si>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</si>
  <si>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</si>
  <si>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</si>
  <si>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</si>
  <si>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</si>
  <si>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</si>
  <si>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</si>
  <si>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</si>
  <si>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</si>
  <si>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</si>
  <si>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</si>
  <si>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</si>
  <si>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</si>
  <si>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</si>
  <si>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</si>
  <si>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</si>
  <si>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</si>
  <si>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</si>
  <si>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</si>
  <si>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</si>
  <si>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</si>
  <si>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</si>
  <si>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</si>
  <si>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</si>
  <si>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</si>
  <si>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</si>
  <si>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</si>
  <si>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</si>
  <si>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</si>
  <si>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</si>
  <si>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</si>
  <si>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</si>
  <si>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</si>
  <si>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</si>
  <si>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</si>
  <si>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</si>
  <si>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</si>
  <si>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</si>
  <si>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</si>
  <si>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</si>
  <si>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</si>
  <si>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</si>
  <si>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</si>
  <si>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</si>
  <si>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</si>
  <si>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</si>
  <si>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</si>
  <si>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</si>
  <si>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</si>
  <si>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</si>
  <si>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</si>
  <si>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</si>
  <si>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</si>
  <si>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</si>
  <si>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</si>
  <si>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</si>
  <si>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</si>
  <si>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</si>
  <si>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</si>
  <si>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</si>
  <si>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</si>
  <si>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</si>
  <si>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</si>
  <si>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</si>
  <si>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</si>
  <si>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</si>
  <si>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</si>
  <si>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</si>
  <si>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</si>
  <si>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</si>
  <si>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</si>
  <si>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</si>
  <si>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</si>
  <si>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</si>
  <si>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</si>
  <si>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</si>
  <si>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</si>
  <si>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</si>
  <si>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</si>
  <si>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</si>
  <si>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</si>
  <si>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</si>
  <si>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</si>
  <si>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</si>
  <si>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</si>
  <si>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</si>
  <si>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</si>
  <si>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511.5.0.04.02.0011</t>
  </si>
  <si>
    <t>MEDICINAS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</si>
  <si>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</si>
  <si>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</si>
  <si>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</si>
  <si>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</si>
  <si>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</si>
  <si>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</si>
  <si>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</si>
  <si>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</si>
  <si>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</si>
  <si>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</si>
  <si>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</si>
  <si>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</si>
  <si>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</si>
  <si>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</si>
  <si>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</si>
  <si>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</si>
  <si>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</si>
  <si>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</si>
  <si>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</si>
  <si>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</si>
  <si>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</si>
  <si>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</si>
  <si>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</si>
  <si>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</si>
  <si>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</si>
  <si>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</si>
  <si>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</si>
  <si>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</si>
  <si>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</si>
  <si>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</si>
  <si>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</si>
  <si>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</si>
  <si>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</si>
  <si>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</si>
  <si>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</si>
  <si>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</si>
  <si>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</si>
  <si>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</si>
  <si>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</si>
  <si>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</si>
  <si>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</si>
  <si>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</si>
  <si>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</si>
  <si>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</si>
  <si>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</si>
  <si>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</si>
  <si>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</si>
  <si>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</si>
  <si>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</si>
  <si>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</si>
  <si>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</si>
  <si>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</si>
  <si>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</si>
  <si>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</si>
  <si>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512.4.0.04.00.0000</t>
  </si>
  <si>
    <t>MADERA Y PRODUCTOS DE MADERA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</si>
  <si>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</si>
  <si>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</si>
  <si>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</si>
  <si>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</si>
  <si>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</si>
  <si>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</si>
  <si>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</si>
  <si>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</si>
  <si>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</si>
  <si>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</si>
  <si>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</si>
  <si>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</si>
  <si>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</si>
  <si>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</si>
  <si>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</si>
  <si>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</si>
  <si>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</si>
  <si>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</si>
  <si>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</si>
  <si>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</si>
  <si>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512.5.0.01.04.0000</t>
  </si>
  <si>
    <t>FERTILIZANTES, PESTICIDAS Y OTROS AGROQUÍMICOS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</si>
  <si>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</si>
  <si>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</si>
  <si>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</si>
  <si>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</si>
  <si>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</si>
  <si>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</si>
  <si>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512.5.0.02.03.0000</t>
  </si>
  <si>
    <t>OTROS PRODUCTOS QUÍMICOS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</si>
  <si>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</si>
  <si>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</si>
  <si>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</si>
  <si>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</si>
  <si>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</si>
  <si>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</si>
  <si>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</si>
  <si>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</si>
  <si>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</si>
  <si>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</si>
  <si>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</si>
  <si>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</si>
  <si>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</si>
  <si>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</si>
  <si>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</si>
  <si>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</si>
  <si>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512.7.0.03.00.0000</t>
  </si>
  <si>
    <t>ARTÍCULOS DEPORTIVOS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</si>
  <si>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</si>
  <si>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</si>
  <si>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</si>
  <si>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</si>
  <si>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</si>
  <si>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</si>
  <si>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</si>
  <si>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</si>
  <si>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</si>
  <si>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</si>
  <si>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</si>
  <si>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</si>
  <si>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</si>
  <si>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</si>
  <si>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</si>
  <si>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</si>
  <si>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</si>
  <si>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</si>
  <si>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512.9.0.09.01.0000</t>
  </si>
  <si>
    <t>ACTIVOS DE BAJO VALOR</t>
  </si>
  <si>
    <t>512.9.0.09.02.0000</t>
  </si>
  <si>
    <t>SERVICIOS GENERALES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</si>
  <si>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</si>
  <si>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</si>
  <si>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</si>
  <si>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</si>
  <si>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</si>
  <si>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</si>
  <si>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</si>
  <si>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</si>
  <si>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</si>
  <si>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</si>
  <si>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</si>
  <si>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</si>
  <si>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</si>
  <si>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</si>
  <si>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</si>
  <si>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TRADICIONAL (TELEFONO)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</si>
  <si>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</si>
  <si>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</si>
  <si>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</si>
  <si>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</si>
  <si>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</si>
  <si>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</si>
  <si>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</si>
  <si>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</si>
  <si>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</si>
  <si>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</si>
  <si>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</si>
  <si>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</si>
  <si>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</si>
  <si>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</si>
  <si>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</si>
  <si>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</si>
  <si>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</si>
  <si>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</si>
  <si>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513.2.0.05.00.0000</t>
  </si>
  <si>
    <t>ARRENDAMIENTO DE EQUIPO DE TRANSPORTE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</si>
  <si>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</si>
  <si>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</si>
  <si>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</si>
  <si>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</si>
  <si>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</si>
  <si>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</si>
  <si>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</si>
  <si>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</si>
  <si>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</si>
  <si>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</si>
  <si>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</si>
  <si>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</si>
  <si>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</si>
  <si>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</si>
  <si>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</si>
  <si>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</si>
  <si>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</si>
  <si>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</si>
  <si>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</si>
  <si>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</si>
  <si>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</si>
  <si>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</si>
  <si>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</si>
  <si>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</si>
  <si>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</si>
  <si>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</si>
  <si>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513.3.0.04.01.0002</t>
  </si>
  <si>
    <t>SERVICIO DE ASESORIA TECNICA</t>
  </si>
  <si>
    <t>513.3.0.04.02.0000</t>
  </si>
  <si>
    <t>SERVICIOS DE CAPACITACION CON RETENCION</t>
  </si>
  <si>
    <t>513.3.0.04.02.0001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</si>
  <si>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</si>
  <si>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</si>
  <si>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</si>
  <si>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</si>
  <si>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</si>
  <si>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</si>
  <si>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</si>
  <si>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</si>
  <si>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</si>
  <si>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</si>
  <si>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</si>
  <si>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</si>
  <si>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</si>
  <si>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</si>
  <si>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513.3.0.07.06.0000</t>
  </si>
  <si>
    <t>OTROS SERVICIOS PROFESIONALES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</si>
  <si>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</si>
  <si>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</si>
  <si>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</si>
  <si>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</si>
  <si>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</si>
  <si>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</si>
  <si>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</si>
  <si>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</si>
  <si>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</si>
  <si>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</si>
  <si>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</si>
  <si>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</si>
  <si>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513.4.0.01.11.0000</t>
  </si>
  <si>
    <t>COMISIONES POR FINANCIAMIENTO A USUARIOS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</si>
  <si>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</si>
  <si>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</si>
  <si>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</si>
  <si>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</si>
  <si>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</si>
  <si>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</si>
  <si>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513.4.0.02.06.0000</t>
  </si>
  <si>
    <t>COMISIONES POR COBRO DE RECIBOS DE AGUA</t>
  </si>
  <si>
    <t>513.4.0.02.07.0000</t>
  </si>
  <si>
    <t>FLETES Y MANIOBRAS</t>
  </si>
  <si>
    <t>513.4.0.04.00.0000</t>
  </si>
  <si>
    <t>SERVICIOS DE COBRANZA, INVESTIGACIÓN CREDITICIA Y SIMILAR</t>
  </si>
  <si>
    <t>513.4.0.04.01.0000</t>
  </si>
  <si>
    <t>COMISIONES POR RECUPERACION DE CARTERA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</si>
  <si>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</si>
  <si>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</si>
  <si>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</si>
  <si>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</si>
  <si>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</si>
  <si>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</si>
  <si>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</si>
  <si>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</si>
  <si>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</si>
  <si>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</si>
  <si>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</si>
  <si>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</si>
  <si>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</si>
  <si>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</si>
  <si>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513.5.0.03.01.0000</t>
  </si>
  <si>
    <t>EQUIPO DE COMPUTO</t>
  </si>
  <si>
    <t>513.5.0.03.02.0000</t>
  </si>
  <si>
    <t>EQUIPO DE RADIOCOMUNICACIÓN</t>
  </si>
  <si>
    <t>513.5.0.03.03.0000</t>
  </si>
  <si>
    <t>TECNOLOGIAS DE LA INFORMACION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</si>
  <si>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</si>
  <si>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</si>
  <si>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</si>
  <si>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</si>
  <si>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</si>
  <si>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</si>
  <si>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</si>
  <si>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</si>
  <si>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</si>
  <si>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</si>
  <si>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</si>
  <si>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</si>
  <si>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</si>
  <si>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</si>
  <si>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</si>
  <si>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</si>
  <si>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</si>
  <si>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</si>
  <si>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</si>
  <si>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</si>
  <si>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</si>
  <si>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</si>
  <si>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</si>
  <si>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</si>
  <si>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</si>
  <si>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</si>
  <si>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</si>
  <si>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</si>
  <si>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</si>
  <si>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</si>
  <si>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</si>
  <si>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</si>
  <si>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513.6.0.04.08.0000</t>
  </si>
  <si>
    <t>PUBLICIDAD ELECTRONICA</t>
  </si>
  <si>
    <t>513.6.0.04.09.0000</t>
  </si>
  <si>
    <t>DISEÑO Y DESRROLLO DE CAMPAÑAS</t>
  </si>
  <si>
    <t>513.6.0.05.00.0000</t>
  </si>
  <si>
    <t>DIFUSIÓN POR RADIO, TELEVISIÓN Y OTROS MEDIOS DE MENSAJES COMERCIALES PARA PROMOVER LA VENTA DE BIENES O SERVICIOS</t>
  </si>
  <si>
    <t>513.6.0.06.00.0000</t>
  </si>
  <si>
    <t>SERVICIOS DE CREATIVIDAD, PREPRODUCCIÓN Y PRODUCCION DE PUBLICIDAD, EXCEPTO INTERNET</t>
  </si>
  <si>
    <t>513.6.0.08.00.0000</t>
  </si>
  <si>
    <t>SERVICIOS DE LA INDUSTRIA FÍLMICA, DEL SONIDO Y DEL VIDEO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</si>
  <si>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</si>
  <si>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</si>
  <si>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</si>
  <si>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</si>
  <si>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</si>
  <si>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</si>
  <si>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</si>
  <si>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</si>
  <si>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</si>
  <si>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</si>
  <si>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</si>
  <si>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</si>
  <si>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</si>
  <si>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</si>
  <si>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</si>
  <si>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</si>
  <si>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</si>
  <si>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</si>
  <si>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</si>
  <si>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</si>
  <si>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</si>
  <si>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</si>
  <si>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</si>
  <si>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</si>
  <si>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</si>
  <si>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</si>
  <si>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</si>
  <si>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</si>
  <si>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</si>
  <si>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</si>
  <si>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</si>
  <si>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</si>
  <si>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</si>
  <si>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</si>
  <si>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</si>
  <si>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</si>
  <si>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</si>
  <si>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</si>
  <si>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</si>
  <si>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</si>
  <si>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</si>
  <si>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</si>
  <si>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</si>
  <si>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</si>
  <si>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</si>
  <si>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</si>
  <si>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</si>
  <si>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</si>
  <si>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</si>
  <si>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</si>
  <si>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</si>
  <si>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</si>
  <si>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</si>
  <si>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</si>
  <si>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PERSONAL PERMANENTE LAUDOS LABORALES</t>
  </si>
  <si>
    <t>513.9.0.04.01.0001</t>
  </si>
  <si>
    <t>SUELDOS</t>
  </si>
  <si>
    <t>513.9.0.04.01.0002</t>
  </si>
  <si>
    <t>513.9.0.04.01.0003</t>
  </si>
  <si>
    <t>VACACIONES</t>
  </si>
  <si>
    <t>513.9.0.04.01.0004</t>
  </si>
  <si>
    <t>513.9.0.04.01.0005</t>
  </si>
  <si>
    <t>PRIMA DE ANTIGÜEDAD</t>
  </si>
  <si>
    <t>513.9.0.04.01.0006</t>
  </si>
  <si>
    <t>INDEMNIZACIONES</t>
  </si>
  <si>
    <t>513.9.0.04.01.0009</t>
  </si>
  <si>
    <t>PERSONAL TRANSITORIO HONORARIOS ASIMILABLES</t>
  </si>
  <si>
    <t>513.9.0.04.01.0010</t>
  </si>
  <si>
    <t>PERSONAL TRANSITORIO GRATIFICACION</t>
  </si>
  <si>
    <t>513.9.0.04.01.0011</t>
  </si>
  <si>
    <t>PERSONAL TRANSITORIO HORAS EXTRAS</t>
  </si>
  <si>
    <t>513.9.0.04.01.0012</t>
  </si>
  <si>
    <t>PERSONAL TRANSITORIO REINTEGRACION ISR</t>
  </si>
  <si>
    <t>513.9.0.04.02.0000</t>
  </si>
  <si>
    <t>OTRAS INDEMNIZACIONES NO LABORALES</t>
  </si>
  <si>
    <t>513.9.0.04.02.0001</t>
  </si>
  <si>
    <t>GASTOS A TERCEROS (EXPEDIENTE 10/III/2016 )</t>
  </si>
  <si>
    <t>513.9.0.04.02.0004</t>
  </si>
  <si>
    <t>EXPEDIENTES ADMINISTRATIVOS (CONSUMOS DE AGUA)</t>
  </si>
  <si>
    <t>513.9.0.05.00.0000</t>
  </si>
  <si>
    <t>PENAS, MULTAS, ACCESORIOS Y ACTUALIZACIONES</t>
  </si>
  <si>
    <t>513.9.0.05.01.0000</t>
  </si>
  <si>
    <t>MULTAS E INFRACCIONES</t>
  </si>
  <si>
    <t>513.9.0.05.02.0000</t>
  </si>
  <si>
    <t>RECARGOS C.N.A.</t>
  </si>
  <si>
    <t>513.9.0.05.03.0000</t>
  </si>
  <si>
    <t>ACTUALIZACIONES C.N.A.</t>
  </si>
  <si>
    <t>513.9.0.05.08.0000</t>
  </si>
  <si>
    <t>CARGA FINANCIERA PRODDER 2018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</si>
  <si>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</si>
  <si>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</si>
  <si>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</si>
  <si>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</si>
  <si>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</si>
  <si>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</si>
  <si>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</si>
  <si>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</si>
  <si>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</si>
  <si>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</si>
  <si>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</si>
  <si>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</si>
  <si>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</si>
  <si>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</si>
  <si>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</si>
  <si>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</si>
  <si>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513.9.0.08.01.0025</t>
  </si>
  <si>
    <t>T2 GASTOS DE OPERACION FUNCIONAMIENTO DEL SISITEMA ACUEDUCTO (REALITO)</t>
  </si>
  <si>
    <t>513.9.0.08.01.0026</t>
  </si>
  <si>
    <t>T3 VOLUMEN DE AGUA EN BLOQUE (REALITO)</t>
  </si>
  <si>
    <t>513.9.0.08.01.0027</t>
  </si>
  <si>
    <t>SERVICIOS DE PLOMERIA (POR TERCEROS)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</si>
  <si>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</si>
  <si>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</si>
  <si>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</si>
  <si>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</si>
  <si>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</si>
  <si>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</si>
  <si>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</si>
  <si>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</si>
  <si>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</si>
  <si>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</si>
  <si>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</si>
  <si>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</si>
  <si>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</si>
  <si>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</si>
  <si>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559.9.0.07.00.0000</t>
  </si>
  <si>
    <t>SERVICIO DE GRUA</t>
  </si>
  <si>
    <t>559.9.0.10.00.0000</t>
  </si>
  <si>
    <t>OTROS GASTOS VARIOS</t>
  </si>
  <si>
    <t>TRANSFERENCIAS, ASIGNACIONES, SUBSIDIOS Y OTRAS AYUDAS</t>
  </si>
  <si>
    <t>528.0.0.00.00.0000</t>
  </si>
  <si>
    <t>Donativos</t>
  </si>
  <si>
    <t>528.1.0.00.00.0000</t>
  </si>
  <si>
    <t>Donativos a Instituciones sin Fines de Lucro</t>
  </si>
  <si>
    <t>BIENES MUEBLES, INMUEBLES E INTANGIBLES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</si>
  <si>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</si>
  <si>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</si>
  <si>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</si>
  <si>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</si>
  <si>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</si>
  <si>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</si>
  <si>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</si>
  <si>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</si>
  <si>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124.1.9.00.00.0000</t>
  </si>
  <si>
    <t>Otros Mobiliarios y Equipos de Administración</t>
  </si>
  <si>
    <t>124.2.0.00.00.0000</t>
  </si>
  <si>
    <t>Mobiliario y Equipo Educacional y Recreativo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</si>
  <si>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</si>
  <si>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</si>
  <si>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</si>
  <si>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</si>
  <si>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</si>
  <si>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</si>
  <si>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</si>
  <si>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</si>
  <si>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</si>
  <si>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</si>
  <si>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</si>
  <si>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</si>
  <si>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124.6.4.00.00.0000</t>
  </si>
  <si>
    <t>Sistemas de Aire Acondicionado, Calefacción y de Refrigeración</t>
  </si>
  <si>
    <t>124.6.6.00.00.0000</t>
  </si>
  <si>
    <t>Equipos de Generación Eléctrica, Aparatos y Accesorios Eléct</t>
  </si>
  <si>
    <t>124.6.7.00.00.0000</t>
  </si>
  <si>
    <t>Herramientas y Máquinas-Herramienta</t>
  </si>
  <si>
    <t>124.6.9.00.00.0000</t>
  </si>
  <si>
    <t>Otros Equipos</t>
  </si>
  <si>
    <t>124.6.9.01.00.0000</t>
  </si>
  <si>
    <t>EQUIPO DE CLORACION</t>
  </si>
  <si>
    <t>INVERSIÓN PÚBLICA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</si>
  <si>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</si>
  <si>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</si>
  <si>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</si>
  <si>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</si>
  <si>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</si>
  <si>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</si>
  <si>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</si>
  <si>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</si>
  <si>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</si>
  <si>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</si>
  <si>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123.5.3.03.06.0000</t>
  </si>
  <si>
    <t>123.5.3.04.00.0000</t>
  </si>
  <si>
    <t>RECURSOS PROPIOS</t>
  </si>
  <si>
    <t>123.5.3.09.00.0000</t>
  </si>
  <si>
    <t>PROGRAMA DE AGUA POTABLE, ALCANTARILLADO Y SANEAMIENTO (PROAGUA)</t>
  </si>
  <si>
    <t>123.5.3.09.01.0000</t>
  </si>
  <si>
    <t>APARTADO URBANO ( APAUR )</t>
  </si>
  <si>
    <t>123.5.3.10.00.0000</t>
  </si>
  <si>
    <t>TRATAMIENTO DE AGUAS RESIDUALES ( PROSAN )</t>
  </si>
  <si>
    <t>123.5.3.10.01.0000</t>
  </si>
  <si>
    <t>PROSAN</t>
  </si>
  <si>
    <t>DEUDA PUBLICA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</si>
  <si>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</si>
  <si>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</si>
  <si>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</si>
  <si>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</si>
  <si>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</si>
  <si>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</si>
  <si>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</si>
  <si>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</si>
  <si>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</si>
  <si>
    <t>Presupuesto Aprobado</t>
  </si>
  <si>
    <t xml:space="preserve"> </t>
  </si>
  <si>
    <t>CONTRAPRESTACION TRATAMIENTO AGUAS RESID. EL MORRO</t>
  </si>
  <si>
    <t>GASTOS DE EMISION DE POLIZAS</t>
  </si>
  <si>
    <t>PROGRAMA PROSANEAR 2019</t>
  </si>
  <si>
    <t>PRODDER 2019</t>
  </si>
  <si>
    <t>PRODDER 2020</t>
  </si>
  <si>
    <t>INTERAPAS</t>
  </si>
  <si>
    <t>DIFERENCIA VS PTTO APROBADO</t>
  </si>
  <si>
    <t>512.3.0.05.00.0000</t>
  </si>
  <si>
    <t>PRODUCTOS QUÍMICOS, FARMACÉUTICOS Y DE LABORATORIO</t>
  </si>
  <si>
    <t>512.9.0.05.00.0000</t>
  </si>
  <si>
    <t>REFACCIONES Y ACCESORIOS MENORES DE EQUIPO E INSTRUMENTAL MEDICO Y DE LABORATORIO</t>
  </si>
  <si>
    <t>513.3.0.01.01.0000</t>
  </si>
  <si>
    <t>SERVICIO DE AUDITORIA</t>
  </si>
  <si>
    <t>513.3.0.01.06.0000</t>
  </si>
  <si>
    <t>SERVICIOS POR TRAMITES DE DEVOLUCIONES DE IVA</t>
  </si>
  <si>
    <t>513.3.0.01.07.0000</t>
  </si>
  <si>
    <t>SERVICIOS DEL PERITAJE (SERVICIOS DE APOYO PARA EFECTUAR TRAMITES LEGALES)</t>
  </si>
  <si>
    <t>513.3.0.01.08.0000</t>
  </si>
  <si>
    <t>SERVICIOS LEGALES POR DEVOLUCION DE IVA</t>
  </si>
  <si>
    <t>513.4.0.02.04.0000</t>
  </si>
  <si>
    <t>ALMACENAJE, ENVASE Y EMBALAJE</t>
  </si>
  <si>
    <t>513.4.0.03.02.0000</t>
  </si>
  <si>
    <t>513.5.0.01.05.0000</t>
  </si>
  <si>
    <t>MANTENIMIENTO ELECTRICO A PLANTA POTABILIZADORA</t>
  </si>
  <si>
    <t>513.5.0.08.04.0000</t>
  </si>
  <si>
    <t>MANTENIMIENTO DE LIMPIEZA A LOS CARCAMOS PLUVIALES</t>
  </si>
  <si>
    <t>BOMBEO DE FOSAS SEPTICAS</t>
  </si>
  <si>
    <t>513.5.0.08.05.0000</t>
  </si>
  <si>
    <t>REPARTO GRATUITO DE AGUA</t>
  </si>
  <si>
    <t>513.9.0.08.01.0010</t>
  </si>
  <si>
    <t>513.9.0.08.02.0007</t>
  </si>
  <si>
    <t>INDEMNIZACION DAÑO PATRIMONIAL</t>
  </si>
  <si>
    <t>559.9.0.05.00.0000</t>
  </si>
  <si>
    <t>Equipo e Instrumental Médico y de Laboratorio</t>
  </si>
  <si>
    <t>124.3.0.00.00.0000</t>
  </si>
  <si>
    <t>Instrumental Médico y de Laboratorio</t>
  </si>
  <si>
    <t>124.3.2.00.00.0000</t>
  </si>
  <si>
    <t>Equipo de Comunicación y Telecomunicación</t>
  </si>
  <si>
    <t>124.6.5.00.00.0000</t>
  </si>
  <si>
    <t>PROGRAMA PROSANEAR 2020</t>
  </si>
  <si>
    <t>Construcciones en Proceso en Bienes Propios</t>
  </si>
  <si>
    <t>123.6.0.00.00.0000</t>
  </si>
  <si>
    <t>RECURSO PROPIO</t>
  </si>
  <si>
    <t>123.6.3.00.00.0000</t>
  </si>
  <si>
    <t>123.6.3.01.00.0000</t>
  </si>
  <si>
    <t>PARTICIPACIONES Y APORTACIONES</t>
  </si>
  <si>
    <t>Aportaciones</t>
  </si>
  <si>
    <t>Aportaciones de las Entidades Federativas a los Municipios</t>
  </si>
  <si>
    <t>PROGRAMA CULTURA DEL AGUA EJERCICIO 2020</t>
  </si>
  <si>
    <t>532.0.0.00.00.0000</t>
  </si>
  <si>
    <t>532.2.0.00.00.0000</t>
  </si>
  <si>
    <t>532.2.0.02.00.0000</t>
  </si>
  <si>
    <t>LABORATORIOS CLINICOS</t>
  </si>
  <si>
    <t>511.5.0.04.02.0012</t>
  </si>
  <si>
    <t>INSTRUMENTOS DE REHABILITACIÓN</t>
  </si>
  <si>
    <t>511.5.0.04.02.0016</t>
  </si>
  <si>
    <t>Aprobado</t>
  </si>
  <si>
    <t>Ampliaciones/ (reducciones)</t>
  </si>
  <si>
    <t>Modificado</t>
  </si>
  <si>
    <t>Devengado</t>
  </si>
  <si>
    <t>Pagado</t>
  </si>
  <si>
    <t>Subejercicio</t>
  </si>
  <si>
    <t>MATERIALES Y SUMINISTROS</t>
  </si>
  <si>
    <t>512.1.0.07.00.0000</t>
  </si>
  <si>
    <t>MATERIALES Y ÚTILES DE ENSEÑANZA</t>
  </si>
  <si>
    <t>513.4.0.03.00.0000</t>
  </si>
  <si>
    <t>SERVICIOS FINANCIEROS, BANCARIOS Y COMERCIALES INTEGRALES</t>
  </si>
  <si>
    <t>513.9.0.04.02.0005</t>
  </si>
  <si>
    <t>JUICIO CIVIL No. 1440/2015 POZO PERIFERICO NORTE II</t>
  </si>
  <si>
    <t>T2 GASTOS DE OPERACION FUNCIONAMIENTO DEL SISTEMA ACUEDUCTO (REALITO)</t>
  </si>
  <si>
    <t>CONTRAPRESTACION TRATAMIENTO DE AGUAS RESIDUALES EL MORRO</t>
  </si>
  <si>
    <t>125.0.0.00.00.0000</t>
  </si>
  <si>
    <t>Activos Intangibles</t>
  </si>
  <si>
    <t>125.1.0.00.00.0000</t>
  </si>
  <si>
    <t>Software</t>
  </si>
  <si>
    <t>125.1.0.03.00.0000</t>
  </si>
  <si>
    <t>SOFTWARE  (PAQUETES Y PROGRAMAS DE INFORMATICA)</t>
  </si>
  <si>
    <t>PROGRAMA PROSANEAR</t>
  </si>
  <si>
    <t>533.0.0.00.00.0000</t>
  </si>
  <si>
    <t>Convenios</t>
  </si>
  <si>
    <t>533.2.0.00.00.0000</t>
  </si>
  <si>
    <t>Convenios de Descentralización y Otros</t>
  </si>
  <si>
    <t>533.2.0.01.00.0000</t>
  </si>
  <si>
    <t>PROGRAMA DE AGUA POTABLE, DRENAJE Y TRATAMIENTO DE AGUA (PROAGUA APARTADO AGUA LIMPIA)</t>
  </si>
  <si>
    <t/>
  </si>
  <si>
    <t>SASiete</t>
  </si>
  <si>
    <t>Página -1 de 1</t>
  </si>
  <si>
    <t>CIERRE PRESUPUESTAL 2020</t>
  </si>
  <si>
    <t>PRODDER2018</t>
  </si>
  <si>
    <t>APARTADO URBANO ( APAUR ) 2020</t>
  </si>
  <si>
    <t>Devengado Septiembre 2020</t>
  </si>
  <si>
    <t>PROYECT  OCT-DIC 2020</t>
  </si>
  <si>
    <t>513.5.0.05.02.0000</t>
  </si>
  <si>
    <t>EQUIPO DE TRANSPORTE ARRENDADO</t>
  </si>
  <si>
    <t>EQUIPO DE TRANSPORTE EN COMODATO</t>
  </si>
  <si>
    <t>513.5.0.05.03.0000</t>
  </si>
  <si>
    <t>SERVICIOS LEGALES POR DEVOLUCION DE IVA (RECURSOS DE REVOCACION)</t>
  </si>
  <si>
    <t>OTROS SERVICIOS PROFESIONALES (ENTREGA DE MEDICAMENTOS)</t>
  </si>
  <si>
    <t>INCREMENTO</t>
  </si>
  <si>
    <t>PROYECTO 2021</t>
  </si>
  <si>
    <t>PRODDER 2021</t>
  </si>
  <si>
    <t>PROGRAMA PROSANEAR 2021</t>
  </si>
  <si>
    <t xml:space="preserve">*|123 </t>
  </si>
  <si>
    <t>PROGRAMA CULTURA DEL AGUA EJERCICIO 2021</t>
  </si>
  <si>
    <t>PROGRAMA APAUR 2021</t>
  </si>
</sst>
</file>

<file path=xl/styles.xml><?xml version="1.0" encoding="utf-8"?>
<styleSheet xmlns="http://schemas.openxmlformats.org/spreadsheetml/2006/main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"/>
    <numFmt numFmtId="166" formatCode="hh\:mm\:ss\ \a\.m\./\p\.m\."/>
  </numFmts>
  <fonts count="22">
    <font>
      <sz val="10"/>
      <color indexed="8"/>
      <name val="ARIAL"/>
      <charset val="1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Times New Roman"/>
      <family val="1"/>
    </font>
    <font>
      <b/>
      <sz val="11"/>
      <color indexed="8"/>
      <name val="Arial"/>
      <family val="2"/>
    </font>
    <font>
      <b/>
      <i/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b/>
      <i/>
      <sz val="10"/>
      <name val="Arial"/>
      <family val="2"/>
    </font>
    <font>
      <sz val="10"/>
      <color rgb="FFC00000"/>
      <name val="Arial"/>
      <family val="2"/>
    </font>
    <font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10"/>
      <color rgb="FFC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5">
    <xf numFmtId="0" fontId="0" fillId="0" borderId="0">
      <alignment vertical="top"/>
    </xf>
    <xf numFmtId="43" fontId="14" fillId="0" borderId="0" applyFont="0" applyFill="0" applyBorder="0" applyAlignment="0" applyProtection="0"/>
    <xf numFmtId="44" fontId="1" fillId="0" borderId="0" applyFont="0" applyFill="0" applyBorder="0" applyAlignment="0" applyProtection="0">
      <alignment vertical="top"/>
    </xf>
    <xf numFmtId="0" fontId="14" fillId="0" borderId="0"/>
    <xf numFmtId="0" fontId="10" fillId="0" borderId="0"/>
  </cellStyleXfs>
  <cellXfs count="154">
    <xf numFmtId="0" fontId="0" fillId="0" borderId="0" xfId="0">
      <alignment vertical="top"/>
    </xf>
    <xf numFmtId="0" fontId="2" fillId="0" borderId="0" xfId="0" applyFont="1">
      <alignment vertical="top"/>
    </xf>
    <xf numFmtId="0" fontId="3" fillId="0" borderId="0" xfId="0" applyFont="1" applyAlignment="1">
      <alignment vertical="top" wrapText="1" readingOrder="1"/>
    </xf>
    <xf numFmtId="0" fontId="2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/>
    </xf>
    <xf numFmtId="4" fontId="3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4" fontId="2" fillId="0" borderId="0" xfId="0" applyNumberFormat="1" applyFont="1" applyAlignment="1">
      <alignment vertical="top" wrapText="1"/>
    </xf>
    <xf numFmtId="0" fontId="4" fillId="0" borderId="0" xfId="0" applyFont="1" applyAlignment="1">
      <alignment vertical="top" wrapText="1" readingOrder="1"/>
    </xf>
    <xf numFmtId="0" fontId="5" fillId="0" borderId="0" xfId="0" applyFont="1" applyAlignment="1">
      <alignment vertical="top" wrapText="1" readingOrder="1"/>
    </xf>
    <xf numFmtId="0" fontId="3" fillId="0" borderId="0" xfId="0" applyFont="1" applyAlignment="1">
      <alignment vertical="top" wrapText="1"/>
    </xf>
    <xf numFmtId="0" fontId="3" fillId="0" borderId="1" xfId="0" applyFont="1" applyBorder="1" applyAlignment="1">
      <alignment vertical="top" wrapText="1" readingOrder="1"/>
    </xf>
    <xf numFmtId="0" fontId="3" fillId="0" borderId="1" xfId="0" applyFont="1" applyBorder="1" applyAlignment="1">
      <alignment horizontal="center" vertical="top" wrapText="1" readingOrder="1"/>
    </xf>
    <xf numFmtId="0" fontId="6" fillId="0" borderId="1" xfId="0" applyFont="1" applyBorder="1" applyAlignment="1">
      <alignment horizontal="center" vertical="top" wrapText="1" readingOrder="1"/>
    </xf>
    <xf numFmtId="0" fontId="7" fillId="0" borderId="0" xfId="0" applyFont="1" applyAlignment="1">
      <alignment vertical="top" wrapText="1"/>
    </xf>
    <xf numFmtId="4" fontId="2" fillId="0" borderId="0" xfId="0" applyNumberFormat="1" applyFont="1">
      <alignment vertical="top"/>
    </xf>
    <xf numFmtId="0" fontId="3" fillId="2" borderId="0" xfId="0" applyFont="1" applyFill="1" applyAlignment="1">
      <alignment vertical="top" wrapText="1" readingOrder="1"/>
    </xf>
    <xf numFmtId="0" fontId="3" fillId="2" borderId="0" xfId="0" applyFont="1" applyFill="1" applyAlignment="1">
      <alignment vertical="top" wrapText="1"/>
    </xf>
    <xf numFmtId="4" fontId="3" fillId="2" borderId="0" xfId="0" applyNumberFormat="1" applyFont="1" applyFill="1" applyAlignment="1">
      <alignment vertical="top" wrapText="1"/>
    </xf>
    <xf numFmtId="0" fontId="2" fillId="2" borderId="0" xfId="0" applyFont="1" applyFill="1">
      <alignment vertical="top"/>
    </xf>
    <xf numFmtId="0" fontId="3" fillId="0" borderId="0" xfId="0" applyFont="1">
      <alignment vertical="top"/>
    </xf>
    <xf numFmtId="4" fontId="3" fillId="0" borderId="0" xfId="0" applyNumberFormat="1" applyFont="1">
      <alignment vertical="top"/>
    </xf>
    <xf numFmtId="0" fontId="8" fillId="0" borderId="0" xfId="0" applyFont="1">
      <alignment vertical="top"/>
    </xf>
    <xf numFmtId="0" fontId="2" fillId="3" borderId="0" xfId="0" applyFont="1" applyFill="1">
      <alignment vertical="top"/>
    </xf>
    <xf numFmtId="0" fontId="2" fillId="3" borderId="0" xfId="0" applyFont="1" applyFill="1" applyAlignment="1">
      <alignment vertical="top" wrapText="1"/>
    </xf>
    <xf numFmtId="0" fontId="3" fillId="2" borderId="0" xfId="0" applyFont="1" applyFill="1">
      <alignment vertical="top"/>
    </xf>
    <xf numFmtId="4" fontId="9" fillId="0" borderId="2" xfId="0" applyNumberFormat="1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4" fontId="2" fillId="3" borderId="0" xfId="0" applyNumberFormat="1" applyFont="1" applyFill="1">
      <alignment vertical="top"/>
    </xf>
    <xf numFmtId="4" fontId="1" fillId="0" borderId="0" xfId="0" applyNumberFormat="1" applyFont="1" applyAlignment="1">
      <alignment vertical="top" wrapText="1"/>
    </xf>
    <xf numFmtId="4" fontId="1" fillId="0" borderId="0" xfId="0" applyNumberFormat="1" applyFont="1">
      <alignment vertical="top"/>
    </xf>
    <xf numFmtId="0" fontId="1" fillId="0" borderId="0" xfId="0" applyFont="1">
      <alignment vertical="top"/>
    </xf>
    <xf numFmtId="0" fontId="1" fillId="0" borderId="0" xfId="0" applyFont="1" applyAlignment="1">
      <alignment vertical="top" wrapText="1"/>
    </xf>
    <xf numFmtId="4" fontId="0" fillId="0" borderId="0" xfId="0" applyNumberFormat="1">
      <alignment vertical="top"/>
    </xf>
    <xf numFmtId="4" fontId="2" fillId="2" borderId="0" xfId="0" applyNumberFormat="1" applyFont="1" applyFill="1">
      <alignment vertical="top"/>
    </xf>
    <xf numFmtId="0" fontId="2" fillId="2" borderId="0" xfId="0" applyFont="1" applyFill="1" applyAlignment="1">
      <alignment vertical="top" wrapText="1" readingOrder="1"/>
    </xf>
    <xf numFmtId="0" fontId="2" fillId="2" borderId="0" xfId="0" applyFont="1" applyFill="1" applyAlignment="1">
      <alignment vertical="top" wrapText="1"/>
    </xf>
    <xf numFmtId="4" fontId="12" fillId="0" borderId="0" xfId="0" applyNumberFormat="1" applyFont="1">
      <alignment vertical="top"/>
    </xf>
    <xf numFmtId="0" fontId="12" fillId="0" borderId="0" xfId="0" applyFont="1">
      <alignment vertical="top"/>
    </xf>
    <xf numFmtId="4" fontId="3" fillId="0" borderId="0" xfId="0" applyNumberFormat="1" applyFont="1" applyFill="1" applyAlignment="1">
      <alignment vertical="top" wrapText="1"/>
    </xf>
    <xf numFmtId="0" fontId="2" fillId="4" borderId="0" xfId="0" applyFont="1" applyFill="1" applyAlignment="1">
      <alignment vertical="top" wrapText="1" readingOrder="1"/>
    </xf>
    <xf numFmtId="4" fontId="1" fillId="0" borderId="0" xfId="0" applyNumberFormat="1" applyFont="1" applyFill="1">
      <alignment vertical="top"/>
    </xf>
    <xf numFmtId="4" fontId="13" fillId="0" borderId="0" xfId="0" applyNumberFormat="1" applyFont="1">
      <alignment vertical="top"/>
    </xf>
    <xf numFmtId="4" fontId="13" fillId="4" borderId="0" xfId="0" applyNumberFormat="1" applyFont="1" applyFill="1">
      <alignment vertical="top"/>
    </xf>
    <xf numFmtId="4" fontId="13" fillId="0" borderId="0" xfId="0" applyNumberFormat="1" applyFont="1" applyFill="1">
      <alignment vertical="top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/>
    </xf>
    <xf numFmtId="4" fontId="3" fillId="4" borderId="0" xfId="0" applyNumberFormat="1" applyFont="1" applyFill="1">
      <alignment vertical="top"/>
    </xf>
    <xf numFmtId="0" fontId="13" fillId="0" borderId="0" xfId="0" applyFont="1">
      <alignment vertical="top"/>
    </xf>
    <xf numFmtId="14" fontId="13" fillId="0" borderId="0" xfId="0" applyNumberFormat="1" applyFont="1">
      <alignment vertical="top"/>
    </xf>
    <xf numFmtId="166" fontId="13" fillId="0" borderId="0" xfId="0" applyNumberFormat="1" applyFont="1">
      <alignment vertical="top"/>
    </xf>
    <xf numFmtId="0" fontId="9" fillId="5" borderId="0" xfId="0" applyFont="1" applyFill="1" applyAlignment="1">
      <alignment vertical="top" wrapText="1" readingOrder="1"/>
    </xf>
    <xf numFmtId="0" fontId="9" fillId="5" borderId="0" xfId="0" applyFont="1" applyFill="1" applyAlignment="1">
      <alignment vertical="top" wrapText="1"/>
    </xf>
    <xf numFmtId="4" fontId="9" fillId="5" borderId="0" xfId="0" applyNumberFormat="1" applyFont="1" applyFill="1" applyAlignment="1">
      <alignment vertical="top" wrapText="1"/>
    </xf>
    <xf numFmtId="0" fontId="9" fillId="6" borderId="0" xfId="0" applyFont="1" applyFill="1" applyAlignment="1">
      <alignment vertical="top" wrapText="1" readingOrder="1"/>
    </xf>
    <xf numFmtId="0" fontId="9" fillId="6" borderId="0" xfId="0" applyFont="1" applyFill="1" applyAlignment="1">
      <alignment vertical="top" wrapText="1"/>
    </xf>
    <xf numFmtId="4" fontId="9" fillId="6" borderId="0" xfId="0" applyNumberFormat="1" applyFont="1" applyFill="1" applyAlignment="1">
      <alignment vertical="top" wrapText="1"/>
    </xf>
    <xf numFmtId="0" fontId="3" fillId="3" borderId="0" xfId="0" applyFont="1" applyFill="1" applyAlignment="1">
      <alignment vertical="top" wrapText="1" readingOrder="1"/>
    </xf>
    <xf numFmtId="0" fontId="3" fillId="3" borderId="0" xfId="0" applyFont="1" applyFill="1" applyAlignment="1">
      <alignment vertical="top" wrapText="1"/>
    </xf>
    <xf numFmtId="4" fontId="3" fillId="3" borderId="0" xfId="0" applyNumberFormat="1" applyFont="1" applyFill="1" applyAlignment="1">
      <alignment vertical="top" wrapText="1"/>
    </xf>
    <xf numFmtId="4" fontId="1" fillId="0" borderId="0" xfId="0" applyNumberFormat="1" applyFont="1" applyFill="1" applyAlignment="1">
      <alignment vertical="top" wrapText="1"/>
    </xf>
    <xf numFmtId="0" fontId="4" fillId="6" borderId="0" xfId="0" applyFont="1" applyFill="1" applyAlignment="1">
      <alignment vertical="top" wrapText="1"/>
    </xf>
    <xf numFmtId="4" fontId="3" fillId="6" borderId="0" xfId="0" applyNumberFormat="1" applyFont="1" applyFill="1" applyAlignment="1">
      <alignment vertical="top" wrapText="1"/>
    </xf>
    <xf numFmtId="0" fontId="3" fillId="6" borderId="0" xfId="0" applyFont="1" applyFill="1">
      <alignment vertical="top"/>
    </xf>
    <xf numFmtId="0" fontId="12" fillId="6" borderId="0" xfId="0" applyFont="1" applyFill="1">
      <alignment vertical="top"/>
    </xf>
    <xf numFmtId="4" fontId="12" fillId="0" borderId="0" xfId="0" applyNumberFormat="1" applyFont="1" applyFill="1">
      <alignment vertical="top"/>
    </xf>
    <xf numFmtId="4" fontId="3" fillId="0" borderId="0" xfId="0" applyNumberFormat="1" applyFont="1" applyFill="1">
      <alignment vertical="top"/>
    </xf>
    <xf numFmtId="4" fontId="2" fillId="0" borderId="0" xfId="0" applyNumberFormat="1" applyFont="1" applyFill="1" applyAlignment="1">
      <alignment vertical="top" wrapText="1"/>
    </xf>
    <xf numFmtId="0" fontId="12" fillId="0" borderId="0" xfId="0" applyFont="1" applyFill="1">
      <alignment vertical="top"/>
    </xf>
    <xf numFmtId="0" fontId="17" fillId="3" borderId="0" xfId="0" applyFont="1" applyFill="1" applyAlignment="1">
      <alignment vertical="top" wrapText="1" readingOrder="1"/>
    </xf>
    <xf numFmtId="0" fontId="17" fillId="3" borderId="0" xfId="0" applyFont="1" applyFill="1" applyAlignment="1">
      <alignment vertical="top" wrapText="1"/>
    </xf>
    <xf numFmtId="4" fontId="17" fillId="3" borderId="0" xfId="0" applyNumberFormat="1" applyFont="1" applyFill="1" applyAlignment="1">
      <alignment vertical="top" wrapText="1"/>
    </xf>
    <xf numFmtId="0" fontId="3" fillId="6" borderId="0" xfId="0" applyFont="1" applyFill="1" applyAlignment="1">
      <alignment vertical="top" wrapText="1" readingOrder="1"/>
    </xf>
    <xf numFmtId="0" fontId="3" fillId="6" borderId="0" xfId="0" applyFont="1" applyFill="1" applyAlignment="1">
      <alignment vertical="top" wrapText="1"/>
    </xf>
    <xf numFmtId="0" fontId="19" fillId="0" borderId="0" xfId="0" applyFont="1" applyAlignment="1">
      <alignment vertical="top" wrapText="1"/>
    </xf>
    <xf numFmtId="0" fontId="19" fillId="2" borderId="0" xfId="0" applyFont="1" applyFill="1" applyAlignment="1">
      <alignment vertical="top" wrapText="1"/>
    </xf>
    <xf numFmtId="4" fontId="10" fillId="0" borderId="0" xfId="0" applyNumberFormat="1" applyFont="1" applyFill="1">
      <alignment vertical="top"/>
    </xf>
    <xf numFmtId="4" fontId="19" fillId="0" borderId="0" xfId="0" applyNumberFormat="1" applyFont="1" applyFill="1">
      <alignment vertical="top"/>
    </xf>
    <xf numFmtId="0" fontId="19" fillId="0" borderId="0" xfId="0" applyFont="1" applyAlignment="1">
      <alignment vertical="top" wrapText="1" readingOrder="1"/>
    </xf>
    <xf numFmtId="4" fontId="19" fillId="0" borderId="0" xfId="0" applyNumberFormat="1" applyFont="1">
      <alignment vertical="top"/>
    </xf>
    <xf numFmtId="0" fontId="18" fillId="0" borderId="0" xfId="0" applyFont="1" applyAlignment="1">
      <alignment vertical="top" wrapText="1" readingOrder="1"/>
    </xf>
    <xf numFmtId="0" fontId="18" fillId="0" borderId="0" xfId="0" applyFont="1">
      <alignment vertical="top"/>
    </xf>
    <xf numFmtId="0" fontId="18" fillId="0" borderId="0" xfId="0" applyFont="1" applyAlignment="1">
      <alignment vertical="top" wrapText="1"/>
    </xf>
    <xf numFmtId="0" fontId="10" fillId="2" borderId="0" xfId="0" applyFont="1" applyFill="1" applyAlignment="1">
      <alignment vertical="top" wrapText="1"/>
    </xf>
    <xf numFmtId="0" fontId="2" fillId="0" borderId="0" xfId="0" applyFont="1" applyFill="1">
      <alignment vertical="top"/>
    </xf>
    <xf numFmtId="4" fontId="3" fillId="0" borderId="1" xfId="0" applyNumberFormat="1" applyFont="1" applyFill="1" applyBorder="1" applyAlignment="1">
      <alignment horizontal="center" vertical="top" wrapText="1"/>
    </xf>
    <xf numFmtId="4" fontId="2" fillId="0" borderId="0" xfId="0" applyNumberFormat="1" applyFont="1" applyFill="1">
      <alignment vertical="top"/>
    </xf>
    <xf numFmtId="4" fontId="20" fillId="0" borderId="0" xfId="0" applyNumberFormat="1" applyFont="1" applyFill="1">
      <alignment vertical="top"/>
    </xf>
    <xf numFmtId="44" fontId="2" fillId="0" borderId="0" xfId="2" applyFont="1" applyFill="1">
      <alignment vertical="top"/>
    </xf>
    <xf numFmtId="4" fontId="9" fillId="0" borderId="2" xfId="0" applyNumberFormat="1" applyFont="1" applyFill="1" applyBorder="1" applyAlignment="1">
      <alignment vertical="top" wrapText="1"/>
    </xf>
    <xf numFmtId="0" fontId="3" fillId="0" borderId="1" xfId="0" applyFont="1" applyFill="1" applyBorder="1" applyAlignment="1">
      <alignment horizontal="center" vertical="top" wrapText="1"/>
    </xf>
    <xf numFmtId="4" fontId="2" fillId="0" borderId="0" xfId="0" applyNumberFormat="1" applyFont="1" applyFill="1" applyAlignment="1">
      <alignment horizontal="center" vertical="top"/>
    </xf>
    <xf numFmtId="0" fontId="10" fillId="0" borderId="0" xfId="0" applyFont="1" applyAlignment="1">
      <alignment vertical="top" wrapText="1" readingOrder="1"/>
    </xf>
    <xf numFmtId="0" fontId="1" fillId="0" borderId="0" xfId="0" applyFont="1" applyAlignment="1">
      <alignment vertical="top" wrapText="1" readingOrder="1"/>
    </xf>
    <xf numFmtId="4" fontId="12" fillId="2" borderId="0" xfId="0" applyNumberFormat="1" applyFont="1" applyFill="1">
      <alignment vertical="top"/>
    </xf>
    <xf numFmtId="4" fontId="13" fillId="2" borderId="0" xfId="0" applyNumberFormat="1" applyFont="1" applyFill="1">
      <alignment vertical="top"/>
    </xf>
    <xf numFmtId="4" fontId="18" fillId="2" borderId="0" xfId="0" applyNumberFormat="1" applyFont="1" applyFill="1">
      <alignment vertical="top"/>
    </xf>
    <xf numFmtId="44" fontId="0" fillId="0" borderId="0" xfId="2" applyFont="1">
      <alignment vertical="top"/>
    </xf>
    <xf numFmtId="44" fontId="3" fillId="0" borderId="1" xfId="2" applyFont="1" applyFill="1" applyBorder="1" applyAlignment="1">
      <alignment horizontal="center" vertical="top" wrapText="1"/>
    </xf>
    <xf numFmtId="44" fontId="1" fillId="0" borderId="0" xfId="2" applyFont="1">
      <alignment vertical="top"/>
    </xf>
    <xf numFmtId="44" fontId="2" fillId="0" borderId="0" xfId="2" applyFont="1">
      <alignment vertical="top"/>
    </xf>
    <xf numFmtId="44" fontId="0" fillId="2" borderId="0" xfId="2" applyFont="1" applyFill="1">
      <alignment vertical="top"/>
    </xf>
    <xf numFmtId="4" fontId="2" fillId="0" borderId="0" xfId="0" applyNumberFormat="1" applyFont="1" applyAlignment="1">
      <alignment vertical="top" wrapText="1" readingOrder="1"/>
    </xf>
    <xf numFmtId="44" fontId="9" fillId="0" borderId="1" xfId="2" applyFont="1" applyFill="1" applyBorder="1" applyAlignment="1">
      <alignment horizontal="center" vertical="top" wrapText="1"/>
    </xf>
    <xf numFmtId="164" fontId="1" fillId="0" borderId="0" xfId="0" applyNumberFormat="1" applyFont="1">
      <alignment vertical="top"/>
    </xf>
    <xf numFmtId="44" fontId="0" fillId="0" borderId="0" xfId="0" applyNumberFormat="1">
      <alignment vertical="top"/>
    </xf>
    <xf numFmtId="4" fontId="15" fillId="0" borderId="0" xfId="0" applyNumberFormat="1" applyFont="1" applyFill="1" applyAlignment="1">
      <alignment vertical="top" wrapText="1"/>
    </xf>
    <xf numFmtId="0" fontId="9" fillId="2" borderId="0" xfId="0" applyFont="1" applyFill="1" applyAlignment="1">
      <alignment vertical="top" wrapText="1" readingOrder="1"/>
    </xf>
    <xf numFmtId="0" fontId="9" fillId="2" borderId="0" xfId="0" applyFont="1" applyFill="1" applyAlignment="1">
      <alignment vertical="top" wrapText="1"/>
    </xf>
    <xf numFmtId="4" fontId="9" fillId="2" borderId="0" xfId="0" applyNumberFormat="1" applyFont="1" applyFill="1" applyAlignment="1">
      <alignment vertical="top" wrapText="1"/>
    </xf>
    <xf numFmtId="44" fontId="9" fillId="2" borderId="0" xfId="2" applyFont="1" applyFill="1" applyAlignment="1">
      <alignment vertical="top" wrapText="1"/>
    </xf>
    <xf numFmtId="44" fontId="8" fillId="2" borderId="0" xfId="0" applyNumberFormat="1" applyFont="1" applyFill="1">
      <alignment vertical="top"/>
    </xf>
    <xf numFmtId="0" fontId="8" fillId="2" borderId="0" xfId="0" applyFont="1" applyFill="1">
      <alignment vertical="top"/>
    </xf>
    <xf numFmtId="44" fontId="3" fillId="2" borderId="0" xfId="2" applyFont="1" applyFill="1" applyAlignment="1">
      <alignment vertical="top" wrapText="1"/>
    </xf>
    <xf numFmtId="4" fontId="1" fillId="2" borderId="0" xfId="0" applyNumberFormat="1" applyFont="1" applyFill="1">
      <alignment vertical="top"/>
    </xf>
    <xf numFmtId="0" fontId="16" fillId="2" borderId="0" xfId="0" applyFont="1" applyFill="1" applyAlignment="1">
      <alignment vertical="top" wrapText="1"/>
    </xf>
    <xf numFmtId="44" fontId="1" fillId="2" borderId="0" xfId="2" applyFont="1" applyFill="1">
      <alignment vertical="top"/>
    </xf>
    <xf numFmtId="0" fontId="18" fillId="2" borderId="0" xfId="0" applyFont="1" applyFill="1" applyAlignment="1">
      <alignment vertical="top" wrapText="1" readingOrder="1"/>
    </xf>
    <xf numFmtId="0" fontId="1" fillId="2" borderId="0" xfId="0" applyFont="1" applyFill="1" applyAlignment="1">
      <alignment vertical="top" wrapText="1"/>
    </xf>
    <xf numFmtId="0" fontId="17" fillId="2" borderId="0" xfId="0" applyFont="1" applyFill="1" applyAlignment="1">
      <alignment vertical="top" wrapText="1" readingOrder="1"/>
    </xf>
    <xf numFmtId="0" fontId="17" fillId="2" borderId="0" xfId="0" applyFont="1" applyFill="1" applyAlignment="1">
      <alignment vertical="top" wrapText="1"/>
    </xf>
    <xf numFmtId="4" fontId="17" fillId="2" borderId="0" xfId="0" applyNumberFormat="1" applyFont="1" applyFill="1" applyAlignment="1">
      <alignment vertical="top" wrapText="1"/>
    </xf>
    <xf numFmtId="44" fontId="17" fillId="2" borderId="0" xfId="2" applyFont="1" applyFill="1" applyAlignment="1">
      <alignment vertical="top" wrapText="1"/>
    </xf>
    <xf numFmtId="0" fontId="12" fillId="2" borderId="0" xfId="0" applyFont="1" applyFill="1">
      <alignment vertical="top"/>
    </xf>
    <xf numFmtId="0" fontId="18" fillId="2" borderId="0" xfId="0" applyFont="1" applyFill="1" applyAlignment="1">
      <alignment vertical="top" wrapText="1"/>
    </xf>
    <xf numFmtId="0" fontId="0" fillId="2" borderId="0" xfId="0" applyFill="1">
      <alignment vertical="top"/>
    </xf>
    <xf numFmtId="4" fontId="1" fillId="2" borderId="0" xfId="0" applyNumberFormat="1" applyFont="1" applyFill="1" applyAlignment="1">
      <alignment vertical="top" wrapText="1"/>
    </xf>
    <xf numFmtId="4" fontId="10" fillId="2" borderId="0" xfId="0" applyNumberFormat="1" applyFont="1" applyFill="1">
      <alignment vertical="top"/>
    </xf>
    <xf numFmtId="4" fontId="19" fillId="2" borderId="0" xfId="0" applyNumberFormat="1" applyFont="1" applyFill="1">
      <alignment vertical="top"/>
    </xf>
    <xf numFmtId="4" fontId="2" fillId="2" borderId="0" xfId="0" applyNumberFormat="1" applyFont="1" applyFill="1" applyAlignment="1">
      <alignment vertical="top" wrapText="1"/>
    </xf>
    <xf numFmtId="0" fontId="7" fillId="2" borderId="0" xfId="0" applyFont="1" applyFill="1" applyAlignment="1">
      <alignment vertical="top" wrapText="1"/>
    </xf>
    <xf numFmtId="0" fontId="4" fillId="2" borderId="0" xfId="0" applyFont="1" applyFill="1" applyAlignment="1">
      <alignment vertical="top" wrapText="1"/>
    </xf>
    <xf numFmtId="44" fontId="2" fillId="2" borderId="0" xfId="2" applyFont="1" applyFill="1" applyAlignment="1">
      <alignment vertical="top" wrapText="1"/>
    </xf>
    <xf numFmtId="4" fontId="20" fillId="2" borderId="0" xfId="0" applyNumberFormat="1" applyFont="1" applyFill="1">
      <alignment vertical="top"/>
    </xf>
    <xf numFmtId="0" fontId="1" fillId="2" borderId="0" xfId="0" applyFont="1" applyFill="1">
      <alignment vertical="top"/>
    </xf>
    <xf numFmtId="4" fontId="3" fillId="2" borderId="0" xfId="0" applyNumberFormat="1" applyFont="1" applyFill="1">
      <alignment vertical="top"/>
    </xf>
    <xf numFmtId="0" fontId="16" fillId="2" borderId="0" xfId="0" applyFont="1" applyFill="1" applyAlignment="1">
      <alignment vertical="top" wrapText="1" readingOrder="1"/>
    </xf>
    <xf numFmtId="0" fontId="13" fillId="2" borderId="0" xfId="0" applyFont="1" applyFill="1">
      <alignment vertical="top"/>
    </xf>
    <xf numFmtId="0" fontId="16" fillId="2" borderId="0" xfId="0" applyFont="1" applyFill="1">
      <alignment vertical="top"/>
    </xf>
    <xf numFmtId="0" fontId="1" fillId="2" borderId="0" xfId="0" applyFont="1" applyFill="1" applyAlignment="1">
      <alignment vertical="top" wrapText="1" readingOrder="1"/>
    </xf>
    <xf numFmtId="44" fontId="3" fillId="2" borderId="0" xfId="2" applyFont="1" applyFill="1">
      <alignment vertical="top"/>
    </xf>
    <xf numFmtId="44" fontId="2" fillId="2" borderId="0" xfId="2" applyFont="1" applyFill="1">
      <alignment vertical="top"/>
    </xf>
    <xf numFmtId="0" fontId="10" fillId="2" borderId="0" xfId="0" applyFont="1" applyFill="1" applyAlignment="1">
      <alignment vertical="top" wrapText="1" readingOrder="1"/>
    </xf>
    <xf numFmtId="0" fontId="4" fillId="2" borderId="0" xfId="0" applyFont="1" applyFill="1" applyAlignment="1">
      <alignment vertical="top" wrapText="1" readingOrder="1"/>
    </xf>
    <xf numFmtId="44" fontId="13" fillId="2" borderId="0" xfId="2" applyFont="1" applyFill="1">
      <alignment vertical="top"/>
    </xf>
    <xf numFmtId="0" fontId="18" fillId="2" borderId="0" xfId="0" applyFont="1" applyFill="1">
      <alignment vertical="top"/>
    </xf>
    <xf numFmtId="4" fontId="21" fillId="2" borderId="0" xfId="0" applyNumberFormat="1" applyFont="1" applyFill="1" applyAlignment="1">
      <alignment vertical="top" wrapText="1"/>
    </xf>
    <xf numFmtId="4" fontId="9" fillId="2" borderId="2" xfId="0" applyNumberFormat="1" applyFont="1" applyFill="1" applyBorder="1" applyAlignment="1">
      <alignment vertical="top" wrapText="1"/>
    </xf>
    <xf numFmtId="44" fontId="9" fillId="2" borderId="2" xfId="2" applyFont="1" applyFill="1" applyBorder="1" applyAlignment="1">
      <alignment vertical="top" wrapText="1"/>
    </xf>
    <xf numFmtId="44" fontId="2" fillId="2" borderId="0" xfId="0" applyNumberFormat="1" applyFont="1" applyFill="1">
      <alignment vertical="top"/>
    </xf>
    <xf numFmtId="44" fontId="1" fillId="2" borderId="0" xfId="0" applyNumberFormat="1" applyFont="1" applyFill="1">
      <alignment vertical="top"/>
    </xf>
    <xf numFmtId="0" fontId="5" fillId="2" borderId="0" xfId="0" applyFont="1" applyFill="1" applyAlignment="1">
      <alignment vertical="top" wrapText="1" readingOrder="1"/>
    </xf>
    <xf numFmtId="0" fontId="6" fillId="0" borderId="0" xfId="0" applyFont="1" applyAlignment="1">
      <alignment horizontal="center" vertical="top" wrapText="1"/>
    </xf>
  </cellXfs>
  <cellStyles count="5">
    <cellStyle name="Millares 2" xfId="1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999999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5" tint="-0.249977111117893"/>
  </sheetPr>
  <dimension ref="A1:H342"/>
  <sheetViews>
    <sheetView topLeftCell="A61" workbookViewId="0">
      <selection activeCell="B25" sqref="B25"/>
    </sheetView>
  </sheetViews>
  <sheetFormatPr baseColWidth="10" defaultRowHeight="12.75"/>
  <cols>
    <col min="1" max="1" width="30.5703125" customWidth="1"/>
    <col min="2" max="2" width="65.140625" customWidth="1"/>
    <col min="3" max="3" width="23" customWidth="1"/>
    <col min="4" max="4" width="19.140625" customWidth="1"/>
    <col min="5" max="5" width="17.42578125" customWidth="1"/>
    <col min="6" max="6" width="18.5703125" customWidth="1"/>
    <col min="7" max="7" width="20.42578125" customWidth="1"/>
    <col min="8" max="8" width="16" customWidth="1"/>
  </cols>
  <sheetData>
    <row r="1" spans="1:8" ht="25.5">
      <c r="A1" s="31" t="s">
        <v>600</v>
      </c>
      <c r="B1" s="31" t="s">
        <v>600</v>
      </c>
      <c r="C1" s="45" t="s">
        <v>657</v>
      </c>
      <c r="D1" s="46" t="s">
        <v>658</v>
      </c>
      <c r="E1" s="45" t="s">
        <v>659</v>
      </c>
      <c r="F1" s="47" t="s">
        <v>660</v>
      </c>
      <c r="G1" s="45" t="s">
        <v>661</v>
      </c>
      <c r="H1" s="45" t="s">
        <v>662</v>
      </c>
    </row>
    <row r="2" spans="1:8">
      <c r="A2" s="20" t="s">
        <v>1</v>
      </c>
      <c r="B2" s="33" t="s">
        <v>600</v>
      </c>
      <c r="C2" s="21">
        <v>237421589</v>
      </c>
      <c r="D2" s="21">
        <v>0</v>
      </c>
      <c r="E2" s="21">
        <v>237421589</v>
      </c>
      <c r="F2" s="48">
        <v>134844578.91999999</v>
      </c>
      <c r="G2" s="21">
        <v>96517048.299999997</v>
      </c>
      <c r="H2" s="21">
        <v>102577010.06</v>
      </c>
    </row>
    <row r="3" spans="1:8">
      <c r="A3" s="49" t="s">
        <v>2</v>
      </c>
      <c r="B3" s="49" t="s">
        <v>3</v>
      </c>
      <c r="C3" s="42">
        <v>237421589</v>
      </c>
      <c r="D3" s="42">
        <v>0</v>
      </c>
      <c r="E3" s="42">
        <v>237421589</v>
      </c>
      <c r="F3" s="43">
        <v>134844578.91999999</v>
      </c>
      <c r="G3" s="42">
        <v>96517048.299999997</v>
      </c>
      <c r="H3" s="42">
        <v>102577010.08</v>
      </c>
    </row>
    <row r="4" spans="1:8">
      <c r="A4" s="49" t="s">
        <v>4</v>
      </c>
      <c r="B4" s="49" t="s">
        <v>5</v>
      </c>
      <c r="C4" s="42">
        <v>83528795</v>
      </c>
      <c r="D4" s="42">
        <v>-331955.64</v>
      </c>
      <c r="E4" s="42">
        <v>83196839.359999999</v>
      </c>
      <c r="F4" s="43">
        <v>47542204.590000004</v>
      </c>
      <c r="G4" s="42">
        <v>33439667.579999998</v>
      </c>
      <c r="H4" s="42">
        <v>35654634.770000003</v>
      </c>
    </row>
    <row r="5" spans="1:8">
      <c r="A5" s="49" t="s">
        <v>6</v>
      </c>
      <c r="B5" s="49" t="s">
        <v>7</v>
      </c>
      <c r="C5" s="42">
        <v>83528795</v>
      </c>
      <c r="D5" s="42">
        <v>-331955.64</v>
      </c>
      <c r="E5" s="42">
        <v>83196839.359999999</v>
      </c>
      <c r="F5" s="43">
        <v>47542204.590000004</v>
      </c>
      <c r="G5" s="42">
        <v>33439667.579999998</v>
      </c>
      <c r="H5" s="42">
        <v>35654634.770000003</v>
      </c>
    </row>
    <row r="6" spans="1:8">
      <c r="A6" s="49" t="s">
        <v>8</v>
      </c>
      <c r="B6" s="49" t="s">
        <v>9</v>
      </c>
      <c r="C6" s="42">
        <v>74876718</v>
      </c>
      <c r="D6" s="42">
        <v>-491842.65</v>
      </c>
      <c r="E6" s="42">
        <v>74384875.349999994</v>
      </c>
      <c r="F6" s="43">
        <v>43236167.850000001</v>
      </c>
      <c r="G6" s="42">
        <v>30695700.949999999</v>
      </c>
      <c r="H6" s="42">
        <v>31148707.5</v>
      </c>
    </row>
    <row r="7" spans="1:8">
      <c r="A7" s="49" t="s">
        <v>10</v>
      </c>
      <c r="B7" s="49" t="s">
        <v>11</v>
      </c>
      <c r="C7" s="42">
        <v>4290949</v>
      </c>
      <c r="D7" s="42">
        <v>2990.1</v>
      </c>
      <c r="E7" s="42">
        <v>4293939.0999999996</v>
      </c>
      <c r="F7" s="43">
        <v>1099443.3400000001</v>
      </c>
      <c r="G7" s="42">
        <v>819626.34</v>
      </c>
      <c r="H7" s="42">
        <v>3194495.76</v>
      </c>
    </row>
    <row r="8" spans="1:8">
      <c r="A8" s="49" t="s">
        <v>12</v>
      </c>
      <c r="B8" s="49" t="s">
        <v>13</v>
      </c>
      <c r="C8" s="42">
        <v>836568</v>
      </c>
      <c r="D8" s="42">
        <v>152028.06</v>
      </c>
      <c r="E8" s="42">
        <v>988596.06</v>
      </c>
      <c r="F8" s="43">
        <v>936576</v>
      </c>
      <c r="G8" s="42">
        <v>685750.83</v>
      </c>
      <c r="H8" s="42">
        <v>52020.06</v>
      </c>
    </row>
    <row r="9" spans="1:8">
      <c r="A9" s="49" t="s">
        <v>14</v>
      </c>
      <c r="B9" s="49" t="s">
        <v>15</v>
      </c>
      <c r="C9" s="42">
        <v>3373760</v>
      </c>
      <c r="D9" s="42">
        <v>4868.8500000000004</v>
      </c>
      <c r="E9" s="42">
        <v>3378628.85</v>
      </c>
      <c r="F9" s="43">
        <v>2141617.4</v>
      </c>
      <c r="G9" s="42">
        <v>1110189.46</v>
      </c>
      <c r="H9" s="42">
        <v>1237011.45</v>
      </c>
    </row>
    <row r="10" spans="1:8">
      <c r="A10" s="49" t="s">
        <v>16</v>
      </c>
      <c r="B10" s="49" t="s">
        <v>17</v>
      </c>
      <c r="C10" s="42">
        <v>150800</v>
      </c>
      <c r="D10" s="42">
        <v>0</v>
      </c>
      <c r="E10" s="42">
        <v>150800</v>
      </c>
      <c r="F10" s="43">
        <v>128400</v>
      </c>
      <c r="G10" s="42">
        <v>128400</v>
      </c>
      <c r="H10" s="42">
        <v>22400</v>
      </c>
    </row>
    <row r="11" spans="1:8">
      <c r="A11" s="49" t="s">
        <v>18</v>
      </c>
      <c r="B11" s="49" t="s">
        <v>19</v>
      </c>
      <c r="C11" s="42">
        <v>19826188</v>
      </c>
      <c r="D11" s="42">
        <v>54479.040000000001</v>
      </c>
      <c r="E11" s="42">
        <v>19880667.039999999</v>
      </c>
      <c r="F11" s="43">
        <v>12981088.66</v>
      </c>
      <c r="G11" s="42">
        <v>12976524.279999999</v>
      </c>
      <c r="H11" s="42">
        <v>6899578.3799999999</v>
      </c>
    </row>
    <row r="12" spans="1:8">
      <c r="A12" s="49" t="s">
        <v>20</v>
      </c>
      <c r="B12" s="49" t="s">
        <v>21</v>
      </c>
      <c r="C12" s="42">
        <v>19638148</v>
      </c>
      <c r="D12" s="42">
        <v>54479.040000000001</v>
      </c>
      <c r="E12" s="42">
        <v>19692627.039999999</v>
      </c>
      <c r="F12" s="43">
        <v>12971639.41</v>
      </c>
      <c r="G12" s="42">
        <v>12967075.029999999</v>
      </c>
      <c r="H12" s="42">
        <v>6720987.6299999999</v>
      </c>
    </row>
    <row r="13" spans="1:8">
      <c r="A13" s="49" t="s">
        <v>22</v>
      </c>
      <c r="B13" s="49" t="s">
        <v>21</v>
      </c>
      <c r="C13" s="42">
        <v>19638148</v>
      </c>
      <c r="D13" s="42">
        <v>54479.040000000001</v>
      </c>
      <c r="E13" s="42">
        <v>19692627.039999999</v>
      </c>
      <c r="F13" s="43">
        <v>12971639.41</v>
      </c>
      <c r="G13" s="42">
        <v>12967075.029999999</v>
      </c>
      <c r="H13" s="42">
        <v>6720987.6299999999</v>
      </c>
    </row>
    <row r="14" spans="1:8">
      <c r="A14" s="49" t="s">
        <v>23</v>
      </c>
      <c r="B14" s="49" t="s">
        <v>24</v>
      </c>
      <c r="C14" s="42">
        <v>19338148</v>
      </c>
      <c r="D14" s="42">
        <v>6666.75</v>
      </c>
      <c r="E14" s="42">
        <v>19344814.75</v>
      </c>
      <c r="F14" s="43">
        <v>12822545.789999999</v>
      </c>
      <c r="G14" s="42">
        <v>12822545.789999999</v>
      </c>
      <c r="H14" s="42">
        <v>6522268.96</v>
      </c>
    </row>
    <row r="15" spans="1:8">
      <c r="A15" s="49" t="s">
        <v>25</v>
      </c>
      <c r="B15" s="49" t="s">
        <v>26</v>
      </c>
      <c r="C15" s="42">
        <v>300000</v>
      </c>
      <c r="D15" s="42">
        <v>47812.29</v>
      </c>
      <c r="E15" s="42">
        <v>347812.29</v>
      </c>
      <c r="F15" s="43">
        <v>149093.62</v>
      </c>
      <c r="G15" s="42">
        <v>144529.24</v>
      </c>
      <c r="H15" s="42">
        <v>198718.67</v>
      </c>
    </row>
    <row r="16" spans="1:8">
      <c r="A16" s="49" t="s">
        <v>27</v>
      </c>
      <c r="B16" s="49" t="s">
        <v>28</v>
      </c>
      <c r="C16" s="42">
        <v>188040</v>
      </c>
      <c r="D16" s="42">
        <v>0</v>
      </c>
      <c r="E16" s="42">
        <v>188040</v>
      </c>
      <c r="F16" s="43">
        <v>9449.25</v>
      </c>
      <c r="G16" s="42">
        <v>9449.25</v>
      </c>
      <c r="H16" s="42">
        <v>178590.75</v>
      </c>
    </row>
    <row r="17" spans="1:8">
      <c r="A17" s="49" t="s">
        <v>29</v>
      </c>
      <c r="B17" s="49" t="s">
        <v>30</v>
      </c>
      <c r="C17" s="42">
        <v>38927537</v>
      </c>
      <c r="D17" s="42">
        <v>-16736.79</v>
      </c>
      <c r="E17" s="42">
        <v>38910800.210000001</v>
      </c>
      <c r="F17" s="43">
        <v>21498850.98</v>
      </c>
      <c r="G17" s="42">
        <v>9768282.0500000007</v>
      </c>
      <c r="H17" s="42">
        <v>17411949.23</v>
      </c>
    </row>
    <row r="18" spans="1:8">
      <c r="A18" s="49" t="s">
        <v>31</v>
      </c>
      <c r="B18" s="49" t="s">
        <v>32</v>
      </c>
      <c r="C18" s="42">
        <v>5823830</v>
      </c>
      <c r="D18" s="42">
        <v>-25022.33</v>
      </c>
      <c r="E18" s="42">
        <v>5798807.6699999999</v>
      </c>
      <c r="F18" s="43">
        <v>2200891.42</v>
      </c>
      <c r="G18" s="42">
        <v>1278649.3999999999</v>
      </c>
      <c r="H18" s="42">
        <v>3597916.25</v>
      </c>
    </row>
    <row r="19" spans="1:8">
      <c r="A19" s="49" t="s">
        <v>33</v>
      </c>
      <c r="B19" s="49" t="s">
        <v>34</v>
      </c>
      <c r="C19" s="42">
        <v>2011776</v>
      </c>
      <c r="D19" s="42">
        <v>-26472.33</v>
      </c>
      <c r="E19" s="42">
        <v>1985303.67</v>
      </c>
      <c r="F19" s="43">
        <v>8625.4</v>
      </c>
      <c r="G19" s="42">
        <v>8625.4</v>
      </c>
      <c r="H19" s="42">
        <v>1976678.27</v>
      </c>
    </row>
    <row r="20" spans="1:8">
      <c r="A20" s="49" t="s">
        <v>35</v>
      </c>
      <c r="B20" s="49" t="s">
        <v>36</v>
      </c>
      <c r="C20" s="42">
        <v>3812054</v>
      </c>
      <c r="D20" s="42">
        <v>1450</v>
      </c>
      <c r="E20" s="42">
        <v>3813504</v>
      </c>
      <c r="F20" s="43">
        <v>2192266.02</v>
      </c>
      <c r="G20" s="42">
        <v>1270024</v>
      </c>
      <c r="H20" s="42">
        <v>1621237.98</v>
      </c>
    </row>
    <row r="21" spans="1:8">
      <c r="A21" s="49" t="s">
        <v>37</v>
      </c>
      <c r="B21" s="49" t="s">
        <v>38</v>
      </c>
      <c r="C21" s="42">
        <v>22327646</v>
      </c>
      <c r="D21" s="42">
        <v>-8858.4</v>
      </c>
      <c r="E21" s="42">
        <v>22318787.600000001</v>
      </c>
      <c r="F21" s="43">
        <v>12690074.050000001</v>
      </c>
      <c r="G21" s="42">
        <v>5213603.6900000004</v>
      </c>
      <c r="H21" s="42">
        <v>9628713.5500000007</v>
      </c>
    </row>
    <row r="22" spans="1:8">
      <c r="A22" s="49" t="s">
        <v>39</v>
      </c>
      <c r="B22" s="49" t="s">
        <v>40</v>
      </c>
      <c r="C22" s="42">
        <v>2896035</v>
      </c>
      <c r="D22" s="42">
        <v>-8278.4</v>
      </c>
      <c r="E22" s="42">
        <v>2887756.6</v>
      </c>
      <c r="F22" s="43">
        <v>1616560.59</v>
      </c>
      <c r="G22" s="42">
        <v>671226.7</v>
      </c>
      <c r="H22" s="42">
        <v>1271196.01</v>
      </c>
    </row>
    <row r="23" spans="1:8">
      <c r="A23" s="49" t="s">
        <v>41</v>
      </c>
      <c r="B23" s="49" t="s">
        <v>42</v>
      </c>
      <c r="C23" s="42">
        <v>658085</v>
      </c>
      <c r="D23" s="42">
        <v>0</v>
      </c>
      <c r="E23" s="42">
        <v>658085</v>
      </c>
      <c r="F23" s="43">
        <v>370682.18</v>
      </c>
      <c r="G23" s="42">
        <v>184844.58</v>
      </c>
      <c r="H23" s="42">
        <v>287402.82</v>
      </c>
    </row>
    <row r="24" spans="1:8">
      <c r="A24" s="49" t="s">
        <v>43</v>
      </c>
      <c r="B24" s="49" t="s">
        <v>44</v>
      </c>
      <c r="C24" s="42">
        <v>18773526</v>
      </c>
      <c r="D24" s="42">
        <v>-580</v>
      </c>
      <c r="E24" s="42">
        <v>18772946</v>
      </c>
      <c r="F24" s="43">
        <v>10702831.279999999</v>
      </c>
      <c r="G24" s="42">
        <v>4357532.41</v>
      </c>
      <c r="H24" s="42">
        <v>8070114.7199999997</v>
      </c>
    </row>
    <row r="25" spans="1:8">
      <c r="A25" s="49" t="s">
        <v>45</v>
      </c>
      <c r="B25" s="49" t="s">
        <v>46</v>
      </c>
      <c r="C25" s="42">
        <v>10776061</v>
      </c>
      <c r="D25" s="42">
        <v>17143.939999999999</v>
      </c>
      <c r="E25" s="42">
        <v>10793204.939999999</v>
      </c>
      <c r="F25" s="43">
        <v>6607885.5099999998</v>
      </c>
      <c r="G25" s="42">
        <v>3276028.96</v>
      </c>
      <c r="H25" s="42">
        <v>4185319.43</v>
      </c>
    </row>
    <row r="26" spans="1:8">
      <c r="A26" s="49" t="s">
        <v>47</v>
      </c>
      <c r="B26" s="49" t="s">
        <v>48</v>
      </c>
      <c r="C26" s="42">
        <v>9000000</v>
      </c>
      <c r="D26" s="42">
        <v>17143.939999999999</v>
      </c>
      <c r="E26" s="42">
        <v>9017143.9399999995</v>
      </c>
      <c r="F26" s="43">
        <v>5751940.5899999999</v>
      </c>
      <c r="G26" s="42">
        <v>2895452.42</v>
      </c>
      <c r="H26" s="42">
        <v>3265203.35</v>
      </c>
    </row>
    <row r="27" spans="1:8">
      <c r="A27" s="49" t="s">
        <v>49</v>
      </c>
      <c r="B27" s="49" t="s">
        <v>50</v>
      </c>
      <c r="C27" s="42">
        <v>1776061</v>
      </c>
      <c r="D27" s="42">
        <v>0</v>
      </c>
      <c r="E27" s="42">
        <v>1776061</v>
      </c>
      <c r="F27" s="43">
        <v>855944.92</v>
      </c>
      <c r="G27" s="42">
        <v>380576.54</v>
      </c>
      <c r="H27" s="42">
        <v>920116.08</v>
      </c>
    </row>
    <row r="28" spans="1:8">
      <c r="A28" s="49" t="s">
        <v>51</v>
      </c>
      <c r="B28" s="49" t="s">
        <v>52</v>
      </c>
      <c r="C28" s="42">
        <v>2694000</v>
      </c>
      <c r="D28" s="42">
        <v>0</v>
      </c>
      <c r="E28" s="42">
        <v>2694000</v>
      </c>
      <c r="F28" s="43">
        <v>44000</v>
      </c>
      <c r="G28" s="42">
        <v>33000</v>
      </c>
      <c r="H28" s="42">
        <v>2650000</v>
      </c>
    </row>
    <row r="29" spans="1:8">
      <c r="A29" s="49" t="s">
        <v>53</v>
      </c>
      <c r="B29" s="49" t="s">
        <v>54</v>
      </c>
      <c r="C29" s="42">
        <v>2694000</v>
      </c>
      <c r="D29" s="42">
        <v>0</v>
      </c>
      <c r="E29" s="42">
        <v>2694000</v>
      </c>
      <c r="F29" s="43">
        <v>44000</v>
      </c>
      <c r="G29" s="42">
        <v>33000</v>
      </c>
      <c r="H29" s="42">
        <v>2650000</v>
      </c>
    </row>
    <row r="30" spans="1:8">
      <c r="A30" s="49" t="s">
        <v>55</v>
      </c>
      <c r="B30" s="49" t="s">
        <v>56</v>
      </c>
      <c r="C30" s="42">
        <v>92445069</v>
      </c>
      <c r="D30" s="42">
        <v>294213.39</v>
      </c>
      <c r="E30" s="42">
        <v>92739282.390000001</v>
      </c>
      <c r="F30" s="43">
        <v>52778434.689999998</v>
      </c>
      <c r="G30" s="42">
        <v>40299574.390000001</v>
      </c>
      <c r="H30" s="42">
        <v>39960847.700000003</v>
      </c>
    </row>
    <row r="31" spans="1:8">
      <c r="A31" s="49" t="s">
        <v>57</v>
      </c>
      <c r="B31" s="49" t="s">
        <v>58</v>
      </c>
      <c r="C31" s="42">
        <v>921600</v>
      </c>
      <c r="D31" s="42">
        <v>-5833.35</v>
      </c>
      <c r="E31" s="42">
        <v>915766.65</v>
      </c>
      <c r="F31" s="43">
        <v>546560</v>
      </c>
      <c r="G31" s="42">
        <v>478160</v>
      </c>
      <c r="H31" s="42">
        <v>369206.65</v>
      </c>
    </row>
    <row r="32" spans="1:8">
      <c r="A32" s="49" t="s">
        <v>59</v>
      </c>
      <c r="B32" s="49" t="s">
        <v>60</v>
      </c>
      <c r="C32" s="42">
        <v>15353273</v>
      </c>
      <c r="D32" s="42">
        <v>216701.56</v>
      </c>
      <c r="E32" s="42">
        <v>15569974.560000001</v>
      </c>
      <c r="F32" s="43">
        <v>7694786.5300000003</v>
      </c>
      <c r="G32" s="42">
        <v>7693446.8799999999</v>
      </c>
      <c r="H32" s="42">
        <v>7875188.0300000003</v>
      </c>
    </row>
    <row r="33" spans="1:8">
      <c r="A33" s="49" t="s">
        <v>61</v>
      </c>
      <c r="B33" s="49" t="s">
        <v>62</v>
      </c>
      <c r="C33" s="42">
        <v>250000</v>
      </c>
      <c r="D33" s="42">
        <v>255859.58</v>
      </c>
      <c r="E33" s="42">
        <v>505859.58</v>
      </c>
      <c r="F33" s="43">
        <v>454432.33</v>
      </c>
      <c r="G33" s="42">
        <v>454432.33</v>
      </c>
      <c r="H33" s="42">
        <v>51427.25</v>
      </c>
    </row>
    <row r="34" spans="1:8">
      <c r="A34" s="49" t="s">
        <v>63</v>
      </c>
      <c r="B34" s="49" t="s">
        <v>64</v>
      </c>
      <c r="C34" s="42">
        <v>432000</v>
      </c>
      <c r="D34" s="42">
        <v>0</v>
      </c>
      <c r="E34" s="42">
        <v>432000</v>
      </c>
      <c r="F34" s="43">
        <v>0</v>
      </c>
      <c r="G34" s="42">
        <v>0</v>
      </c>
      <c r="H34" s="42">
        <v>432000</v>
      </c>
    </row>
    <row r="35" spans="1:8">
      <c r="A35" s="49" t="s">
        <v>65</v>
      </c>
      <c r="B35" s="49" t="s">
        <v>66</v>
      </c>
      <c r="C35" s="42">
        <v>14671273</v>
      </c>
      <c r="D35" s="42">
        <v>-39158.019999999997</v>
      </c>
      <c r="E35" s="42">
        <v>14632114.98</v>
      </c>
      <c r="F35" s="43">
        <v>7240354.2000000002</v>
      </c>
      <c r="G35" s="42">
        <v>7239014.5499999998</v>
      </c>
      <c r="H35" s="42">
        <v>7391760.7800000003</v>
      </c>
    </row>
    <row r="36" spans="1:8">
      <c r="A36" s="49" t="s">
        <v>67</v>
      </c>
      <c r="B36" s="49" t="s">
        <v>68</v>
      </c>
      <c r="C36" s="42">
        <v>75554707</v>
      </c>
      <c r="D36" s="42">
        <v>83345.179999999993</v>
      </c>
      <c r="E36" s="42">
        <v>75638052.180000007</v>
      </c>
      <c r="F36" s="43">
        <v>44255886.369999997</v>
      </c>
      <c r="G36" s="42">
        <v>32034516.300000001</v>
      </c>
      <c r="H36" s="42">
        <v>31382165.809999999</v>
      </c>
    </row>
    <row r="37" spans="1:8">
      <c r="A37" s="49" t="s">
        <v>69</v>
      </c>
      <c r="B37" s="49" t="s">
        <v>70</v>
      </c>
      <c r="C37" s="42">
        <v>27801107</v>
      </c>
      <c r="D37" s="42">
        <v>62123.78</v>
      </c>
      <c r="E37" s="42">
        <v>27863230.780000001</v>
      </c>
      <c r="F37" s="43">
        <v>15656118.75</v>
      </c>
      <c r="G37" s="42">
        <v>7655494.71</v>
      </c>
      <c r="H37" s="42">
        <v>12207112.029999999</v>
      </c>
    </row>
    <row r="38" spans="1:8">
      <c r="A38" s="49" t="s">
        <v>71</v>
      </c>
      <c r="B38" s="49" t="s">
        <v>72</v>
      </c>
      <c r="C38" s="42">
        <v>144000</v>
      </c>
      <c r="D38" s="42">
        <v>0</v>
      </c>
      <c r="E38" s="42">
        <v>144000</v>
      </c>
      <c r="F38" s="43">
        <v>96000</v>
      </c>
      <c r="G38" s="42">
        <v>72000</v>
      </c>
      <c r="H38" s="42">
        <v>48000</v>
      </c>
    </row>
    <row r="39" spans="1:8">
      <c r="A39" s="49" t="s">
        <v>73</v>
      </c>
      <c r="B39" s="49" t="s">
        <v>74</v>
      </c>
      <c r="C39" s="42">
        <v>8688785</v>
      </c>
      <c r="D39" s="42">
        <v>-10064.83</v>
      </c>
      <c r="E39" s="42">
        <v>8678720.1699999999</v>
      </c>
      <c r="F39" s="43">
        <v>5040885.88</v>
      </c>
      <c r="G39" s="42">
        <v>0</v>
      </c>
      <c r="H39" s="42">
        <v>3637834.29</v>
      </c>
    </row>
    <row r="40" spans="1:8">
      <c r="A40" s="49" t="s">
        <v>75</v>
      </c>
      <c r="B40" s="49" t="s">
        <v>76</v>
      </c>
      <c r="C40" s="42">
        <v>549000</v>
      </c>
      <c r="D40" s="42">
        <v>180</v>
      </c>
      <c r="E40" s="42">
        <v>549180</v>
      </c>
      <c r="F40" s="43">
        <v>239580</v>
      </c>
      <c r="G40" s="42">
        <v>117360</v>
      </c>
      <c r="H40" s="42">
        <v>309600</v>
      </c>
    </row>
    <row r="41" spans="1:8">
      <c r="A41" s="49" t="s">
        <v>77</v>
      </c>
      <c r="B41" s="49" t="s">
        <v>78</v>
      </c>
      <c r="C41" s="42">
        <v>1403002</v>
      </c>
      <c r="D41" s="42">
        <v>85190.65</v>
      </c>
      <c r="E41" s="42">
        <v>1488192.65</v>
      </c>
      <c r="F41" s="43">
        <v>780362.27</v>
      </c>
      <c r="G41" s="42">
        <v>385343.12</v>
      </c>
      <c r="H41" s="42">
        <v>707830.38</v>
      </c>
    </row>
    <row r="42" spans="1:8">
      <c r="A42" s="49" t="s">
        <v>79</v>
      </c>
      <c r="B42" s="49" t="s">
        <v>80</v>
      </c>
      <c r="C42" s="42">
        <v>16320</v>
      </c>
      <c r="D42" s="42">
        <v>0</v>
      </c>
      <c r="E42" s="42">
        <v>16320</v>
      </c>
      <c r="F42" s="43">
        <v>10880</v>
      </c>
      <c r="G42" s="42">
        <v>5440</v>
      </c>
      <c r="H42" s="42">
        <v>5440</v>
      </c>
    </row>
    <row r="43" spans="1:8">
      <c r="A43" s="49" t="s">
        <v>81</v>
      </c>
      <c r="B43" s="49" t="s">
        <v>82</v>
      </c>
      <c r="C43" s="42">
        <v>17000000</v>
      </c>
      <c r="D43" s="42">
        <v>-13182.04</v>
      </c>
      <c r="E43" s="42">
        <v>16986817.960000001</v>
      </c>
      <c r="F43" s="43">
        <v>9488410.5999999996</v>
      </c>
      <c r="G43" s="42">
        <v>7075351.5899999999</v>
      </c>
      <c r="H43" s="42">
        <v>7498407.3600000003</v>
      </c>
    </row>
    <row r="44" spans="1:8">
      <c r="A44" s="49" t="s">
        <v>83</v>
      </c>
      <c r="B44" s="49" t="s">
        <v>84</v>
      </c>
      <c r="C44" s="42">
        <v>47753600</v>
      </c>
      <c r="D44" s="42">
        <v>21221.4</v>
      </c>
      <c r="E44" s="42">
        <v>47774821.399999999</v>
      </c>
      <c r="F44" s="43">
        <v>28599767.620000001</v>
      </c>
      <c r="G44" s="42">
        <v>24379021.59</v>
      </c>
      <c r="H44" s="42">
        <v>19175053.780000001</v>
      </c>
    </row>
    <row r="45" spans="1:8">
      <c r="A45" s="49" t="s">
        <v>85</v>
      </c>
      <c r="B45" s="49" t="s">
        <v>86</v>
      </c>
      <c r="C45" s="42">
        <v>10800</v>
      </c>
      <c r="D45" s="42">
        <v>0</v>
      </c>
      <c r="E45" s="42">
        <v>10800</v>
      </c>
      <c r="F45" s="43">
        <v>6300</v>
      </c>
      <c r="G45" s="42">
        <v>900</v>
      </c>
      <c r="H45" s="42">
        <v>4500</v>
      </c>
    </row>
    <row r="46" spans="1:8">
      <c r="A46" s="49" t="s">
        <v>87</v>
      </c>
      <c r="B46" s="49" t="s">
        <v>88</v>
      </c>
      <c r="C46" s="42">
        <v>1422000</v>
      </c>
      <c r="D46" s="42">
        <v>562.5</v>
      </c>
      <c r="E46" s="42">
        <v>1422562.5</v>
      </c>
      <c r="F46" s="43">
        <v>768600</v>
      </c>
      <c r="G46" s="42">
        <v>458437.5</v>
      </c>
      <c r="H46" s="42">
        <v>653962.5</v>
      </c>
    </row>
    <row r="47" spans="1:8">
      <c r="A47" s="49" t="s">
        <v>89</v>
      </c>
      <c r="B47" s="49" t="s">
        <v>90</v>
      </c>
      <c r="C47" s="42">
        <v>1327200</v>
      </c>
      <c r="D47" s="42">
        <v>-102.72</v>
      </c>
      <c r="E47" s="42">
        <v>1327097.28</v>
      </c>
      <c r="F47" s="43">
        <v>804238.89</v>
      </c>
      <c r="G47" s="42">
        <v>576384.9</v>
      </c>
      <c r="H47" s="42">
        <v>522858.39</v>
      </c>
    </row>
    <row r="48" spans="1:8">
      <c r="A48" s="49" t="s">
        <v>91</v>
      </c>
      <c r="B48" s="49" t="s">
        <v>92</v>
      </c>
      <c r="C48" s="42">
        <v>9600</v>
      </c>
      <c r="D48" s="42">
        <v>0</v>
      </c>
      <c r="E48" s="42">
        <v>9600</v>
      </c>
      <c r="F48" s="43">
        <v>800</v>
      </c>
      <c r="G48" s="42">
        <v>0</v>
      </c>
      <c r="H48" s="42">
        <v>8800</v>
      </c>
    </row>
    <row r="49" spans="1:8">
      <c r="A49" s="49" t="s">
        <v>93</v>
      </c>
      <c r="B49" s="49" t="s">
        <v>94</v>
      </c>
      <c r="C49" s="42">
        <v>462500</v>
      </c>
      <c r="D49" s="42">
        <v>5211.3</v>
      </c>
      <c r="E49" s="42">
        <v>467711.3</v>
      </c>
      <c r="F49" s="43">
        <v>419629.52</v>
      </c>
      <c r="G49" s="42">
        <v>387173.4</v>
      </c>
      <c r="H49" s="42">
        <v>48081.78</v>
      </c>
    </row>
    <row r="50" spans="1:8">
      <c r="A50" s="49" t="s">
        <v>95</v>
      </c>
      <c r="B50" s="49" t="s">
        <v>96</v>
      </c>
      <c r="C50" s="42">
        <v>10000</v>
      </c>
      <c r="D50" s="42">
        <v>11666.7</v>
      </c>
      <c r="E50" s="42">
        <v>21666.7</v>
      </c>
      <c r="F50" s="43">
        <v>10000</v>
      </c>
      <c r="G50" s="42">
        <v>10000</v>
      </c>
      <c r="H50" s="42">
        <v>11666.7</v>
      </c>
    </row>
    <row r="51" spans="1:8">
      <c r="A51" s="49" t="s">
        <v>97</v>
      </c>
      <c r="B51" s="49" t="s">
        <v>98</v>
      </c>
      <c r="C51" s="42">
        <v>16000000</v>
      </c>
      <c r="D51" s="42">
        <v>-82068.52</v>
      </c>
      <c r="E51" s="42">
        <v>15917931.48</v>
      </c>
      <c r="F51" s="43">
        <v>8569962.7300000004</v>
      </c>
      <c r="G51" s="42">
        <v>7445108.1699999999</v>
      </c>
      <c r="H51" s="42">
        <v>7347968.75</v>
      </c>
    </row>
    <row r="52" spans="1:8">
      <c r="A52" s="49" t="s">
        <v>654</v>
      </c>
      <c r="B52" s="49" t="s">
        <v>653</v>
      </c>
      <c r="C52" s="42">
        <v>0</v>
      </c>
      <c r="D52" s="42">
        <v>135171.98000000001</v>
      </c>
      <c r="E52" s="42">
        <v>135171.98000000001</v>
      </c>
      <c r="F52" s="43">
        <v>116344.61</v>
      </c>
      <c r="G52" s="42">
        <v>116344.61</v>
      </c>
      <c r="H52" s="42">
        <v>18827.37</v>
      </c>
    </row>
    <row r="53" spans="1:8">
      <c r="A53" s="49" t="s">
        <v>99</v>
      </c>
      <c r="B53" s="49" t="s">
        <v>100</v>
      </c>
      <c r="C53" s="42">
        <v>284000</v>
      </c>
      <c r="D53" s="42">
        <v>544806.09</v>
      </c>
      <c r="E53" s="42">
        <v>828806.09</v>
      </c>
      <c r="F53" s="43">
        <v>258076.62</v>
      </c>
      <c r="G53" s="42">
        <v>224203.14</v>
      </c>
      <c r="H53" s="42">
        <v>570729.47</v>
      </c>
    </row>
    <row r="54" spans="1:8">
      <c r="A54" s="49" t="s">
        <v>101</v>
      </c>
      <c r="B54" s="49" t="s">
        <v>102</v>
      </c>
      <c r="C54" s="42">
        <v>23500000</v>
      </c>
      <c r="D54" s="42">
        <v>-544806.09</v>
      </c>
      <c r="E54" s="42">
        <v>22955193.91</v>
      </c>
      <c r="F54" s="43">
        <v>14805001.68</v>
      </c>
      <c r="G54" s="42">
        <v>12861751.92</v>
      </c>
      <c r="H54" s="42">
        <v>8150192.2300000004</v>
      </c>
    </row>
    <row r="55" spans="1:8">
      <c r="A55" s="49" t="s">
        <v>103</v>
      </c>
      <c r="B55" s="49" t="s">
        <v>104</v>
      </c>
      <c r="C55" s="42">
        <v>2000000</v>
      </c>
      <c r="D55" s="42">
        <v>-53103.33</v>
      </c>
      <c r="E55" s="42">
        <v>1946896.67</v>
      </c>
      <c r="F55" s="43">
        <v>686196.06</v>
      </c>
      <c r="G55" s="42">
        <v>426398.76</v>
      </c>
      <c r="H55" s="42">
        <v>1260700.6100000001</v>
      </c>
    </row>
    <row r="56" spans="1:8">
      <c r="A56" s="49" t="s">
        <v>656</v>
      </c>
      <c r="B56" s="49" t="s">
        <v>655</v>
      </c>
      <c r="C56" s="42">
        <v>0</v>
      </c>
      <c r="D56" s="42">
        <v>3883.62</v>
      </c>
      <c r="E56" s="42">
        <v>3883.62</v>
      </c>
      <c r="F56" s="43">
        <v>3883.62</v>
      </c>
      <c r="G56" s="42">
        <v>3883.62</v>
      </c>
      <c r="H56" s="42">
        <v>0</v>
      </c>
    </row>
    <row r="57" spans="1:8">
      <c r="A57" s="49" t="s">
        <v>105</v>
      </c>
      <c r="B57" s="49" t="s">
        <v>106</v>
      </c>
      <c r="C57" s="42">
        <v>189000</v>
      </c>
      <c r="D57" s="42">
        <v>0</v>
      </c>
      <c r="E57" s="42">
        <v>189000</v>
      </c>
      <c r="F57" s="43">
        <v>0</v>
      </c>
      <c r="G57" s="42">
        <v>0</v>
      </c>
      <c r="H57" s="42">
        <v>189000</v>
      </c>
    </row>
    <row r="58" spans="1:8">
      <c r="A58" s="49" t="s">
        <v>107</v>
      </c>
      <c r="B58" s="49" t="s">
        <v>108</v>
      </c>
      <c r="C58" s="42">
        <v>2530000</v>
      </c>
      <c r="D58" s="42">
        <v>-0.13</v>
      </c>
      <c r="E58" s="42">
        <v>2529999.87</v>
      </c>
      <c r="F58" s="43">
        <v>2150733.89</v>
      </c>
      <c r="G58" s="42">
        <v>1868435.57</v>
      </c>
      <c r="H58" s="42">
        <v>379265.98</v>
      </c>
    </row>
    <row r="59" spans="1:8">
      <c r="A59" s="49" t="s">
        <v>109</v>
      </c>
      <c r="B59" s="49" t="s">
        <v>110</v>
      </c>
      <c r="C59" s="42">
        <v>8500</v>
      </c>
      <c r="D59" s="42">
        <v>0</v>
      </c>
      <c r="E59" s="42">
        <v>8500</v>
      </c>
      <c r="F59" s="43">
        <v>0</v>
      </c>
      <c r="G59" s="42">
        <v>0</v>
      </c>
      <c r="H59" s="42">
        <v>8500</v>
      </c>
    </row>
    <row r="60" spans="1:8">
      <c r="A60" s="49" t="s">
        <v>111</v>
      </c>
      <c r="B60" s="49" t="s">
        <v>112</v>
      </c>
      <c r="C60" s="42">
        <v>180000</v>
      </c>
      <c r="D60" s="42">
        <v>0</v>
      </c>
      <c r="E60" s="42">
        <v>180000</v>
      </c>
      <c r="F60" s="43">
        <v>0</v>
      </c>
      <c r="G60" s="42">
        <v>0</v>
      </c>
      <c r="H60" s="42">
        <v>180000</v>
      </c>
    </row>
    <row r="61" spans="1:8">
      <c r="A61" s="49" t="s">
        <v>113</v>
      </c>
      <c r="B61" s="49" t="s">
        <v>114</v>
      </c>
      <c r="C61" s="42">
        <v>435489</v>
      </c>
      <c r="D61" s="42">
        <v>0</v>
      </c>
      <c r="E61" s="42">
        <v>435489</v>
      </c>
      <c r="F61" s="43">
        <v>281201.78999999998</v>
      </c>
      <c r="G61" s="42">
        <v>93451.21</v>
      </c>
      <c r="H61" s="42">
        <v>154287.21</v>
      </c>
    </row>
    <row r="62" spans="1:8">
      <c r="A62" s="49" t="s">
        <v>115</v>
      </c>
      <c r="B62" s="49" t="s">
        <v>116</v>
      </c>
      <c r="C62" s="42">
        <v>435489</v>
      </c>
      <c r="D62" s="42">
        <v>0</v>
      </c>
      <c r="E62" s="42">
        <v>435489</v>
      </c>
      <c r="F62" s="43">
        <v>281201.78999999998</v>
      </c>
      <c r="G62" s="42">
        <v>93451.21</v>
      </c>
      <c r="H62" s="42">
        <v>154287.21</v>
      </c>
    </row>
    <row r="63" spans="1:8">
      <c r="A63" s="20" t="s">
        <v>663</v>
      </c>
      <c r="B63" s="30" t="s">
        <v>600</v>
      </c>
      <c r="C63" s="21">
        <v>53734953</v>
      </c>
      <c r="D63" s="21">
        <v>-8247070.8499999996</v>
      </c>
      <c r="E63" s="21">
        <v>45487882.159999996</v>
      </c>
      <c r="F63" s="48">
        <v>19748484.699999999</v>
      </c>
      <c r="G63" s="21">
        <v>14611569.01</v>
      </c>
      <c r="H63" s="21">
        <v>25739397.449999999</v>
      </c>
    </row>
    <row r="64" spans="1:8">
      <c r="A64" s="49" t="s">
        <v>117</v>
      </c>
      <c r="B64" s="49" t="s">
        <v>118</v>
      </c>
      <c r="C64" s="42">
        <v>53734953</v>
      </c>
      <c r="D64" s="42">
        <v>-8247070.8499999996</v>
      </c>
      <c r="E64" s="42">
        <v>45487882.149999999</v>
      </c>
      <c r="F64" s="43">
        <v>19748484.699999999</v>
      </c>
      <c r="G64" s="42">
        <v>14611569.01</v>
      </c>
      <c r="H64" s="42">
        <v>25739397.449999999</v>
      </c>
    </row>
    <row r="65" spans="1:8">
      <c r="A65" s="49" t="s">
        <v>119</v>
      </c>
      <c r="B65" s="49" t="s">
        <v>120</v>
      </c>
      <c r="C65" s="42">
        <v>3270000</v>
      </c>
      <c r="D65" s="42">
        <v>46249.24</v>
      </c>
      <c r="E65" s="42">
        <v>3316249.24</v>
      </c>
      <c r="F65" s="43">
        <v>1297326.27</v>
      </c>
      <c r="G65" s="42">
        <v>796209.24</v>
      </c>
      <c r="H65" s="42">
        <v>2018922.97</v>
      </c>
    </row>
    <row r="66" spans="1:8">
      <c r="A66" s="49" t="s">
        <v>121</v>
      </c>
      <c r="B66" s="49" t="s">
        <v>122</v>
      </c>
      <c r="C66" s="42">
        <v>1500000</v>
      </c>
      <c r="D66" s="42">
        <v>-191478.12</v>
      </c>
      <c r="E66" s="42">
        <v>1308521.8799999999</v>
      </c>
      <c r="F66" s="43">
        <v>610845.19999999995</v>
      </c>
      <c r="G66" s="42">
        <v>497388.7</v>
      </c>
      <c r="H66" s="42">
        <v>697676.68</v>
      </c>
    </row>
    <row r="67" spans="1:8">
      <c r="A67" s="49" t="s">
        <v>123</v>
      </c>
      <c r="B67" s="49" t="s">
        <v>124</v>
      </c>
      <c r="C67" s="42">
        <v>1500000</v>
      </c>
      <c r="D67" s="42">
        <v>-191478.12</v>
      </c>
      <c r="E67" s="42">
        <v>1308521.8799999999</v>
      </c>
      <c r="F67" s="43">
        <v>610845.19999999995</v>
      </c>
      <c r="G67" s="42">
        <v>497388.7</v>
      </c>
      <c r="H67" s="42">
        <v>697676.68</v>
      </c>
    </row>
    <row r="68" spans="1:8">
      <c r="A68" s="49" t="s">
        <v>125</v>
      </c>
      <c r="B68" s="49" t="s">
        <v>126</v>
      </c>
      <c r="C68" s="42">
        <v>700000</v>
      </c>
      <c r="D68" s="42">
        <v>-385589.56</v>
      </c>
      <c r="E68" s="42">
        <v>314410.44</v>
      </c>
      <c r="F68" s="43">
        <v>52556.2</v>
      </c>
      <c r="G68" s="42">
        <v>50167.17</v>
      </c>
      <c r="H68" s="42">
        <v>261854.24</v>
      </c>
    </row>
    <row r="69" spans="1:8">
      <c r="A69" s="49" t="s">
        <v>127</v>
      </c>
      <c r="B69" s="49" t="s">
        <v>128</v>
      </c>
      <c r="C69" s="42">
        <v>700000</v>
      </c>
      <c r="D69" s="42">
        <v>-385589.56</v>
      </c>
      <c r="E69" s="42">
        <v>314410.44</v>
      </c>
      <c r="F69" s="43">
        <v>52556.2</v>
      </c>
      <c r="G69" s="42">
        <v>50167.17</v>
      </c>
      <c r="H69" s="42">
        <v>261854.24</v>
      </c>
    </row>
    <row r="70" spans="1:8">
      <c r="A70" s="49" t="s">
        <v>129</v>
      </c>
      <c r="B70" s="49" t="s">
        <v>130</v>
      </c>
      <c r="C70" s="42">
        <v>1000000</v>
      </c>
      <c r="D70" s="42">
        <v>416038.87</v>
      </c>
      <c r="E70" s="42">
        <v>1416038.87</v>
      </c>
      <c r="F70" s="43">
        <v>394403.44</v>
      </c>
      <c r="G70" s="42">
        <v>15903.44</v>
      </c>
      <c r="H70" s="42">
        <v>1021635.43</v>
      </c>
    </row>
    <row r="71" spans="1:8">
      <c r="A71" s="49" t="s">
        <v>131</v>
      </c>
      <c r="B71" s="49" t="s">
        <v>132</v>
      </c>
      <c r="C71" s="42">
        <v>70000</v>
      </c>
      <c r="D71" s="42">
        <v>201378.05</v>
      </c>
      <c r="E71" s="42">
        <v>271378.05</v>
      </c>
      <c r="F71" s="43">
        <v>239521.43</v>
      </c>
      <c r="G71" s="42">
        <v>232749.93</v>
      </c>
      <c r="H71" s="42">
        <v>31856.62</v>
      </c>
    </row>
    <row r="72" spans="1:8">
      <c r="A72" s="49" t="s">
        <v>664</v>
      </c>
      <c r="B72" s="49" t="s">
        <v>665</v>
      </c>
      <c r="C72" s="42">
        <v>0</v>
      </c>
      <c r="D72" s="42">
        <v>5900</v>
      </c>
      <c r="E72" s="42">
        <v>5900</v>
      </c>
      <c r="F72" s="43">
        <v>0</v>
      </c>
      <c r="G72" s="42">
        <v>0</v>
      </c>
      <c r="H72" s="42">
        <v>5900</v>
      </c>
    </row>
    <row r="73" spans="1:8">
      <c r="A73" s="49" t="s">
        <v>133</v>
      </c>
      <c r="B73" s="49" t="s">
        <v>134</v>
      </c>
      <c r="C73" s="42">
        <v>502000</v>
      </c>
      <c r="D73" s="42">
        <v>-35080.980000000003</v>
      </c>
      <c r="E73" s="42">
        <v>466919.02</v>
      </c>
      <c r="F73" s="43">
        <v>268546.78000000003</v>
      </c>
      <c r="G73" s="42">
        <v>243554.9</v>
      </c>
      <c r="H73" s="42">
        <v>198372.24</v>
      </c>
    </row>
    <row r="74" spans="1:8">
      <c r="A74" s="49" t="s">
        <v>135</v>
      </c>
      <c r="B74" s="49" t="s">
        <v>136</v>
      </c>
      <c r="C74" s="42">
        <v>500000</v>
      </c>
      <c r="D74" s="42">
        <v>-35625.25</v>
      </c>
      <c r="E74" s="42">
        <v>464374.75</v>
      </c>
      <c r="F74" s="43">
        <v>266669.19</v>
      </c>
      <c r="G74" s="42">
        <v>241677.31</v>
      </c>
      <c r="H74" s="42">
        <v>197705.56</v>
      </c>
    </row>
    <row r="75" spans="1:8">
      <c r="A75" s="49" t="s">
        <v>137</v>
      </c>
      <c r="B75" s="49" t="s">
        <v>138</v>
      </c>
      <c r="C75" s="42">
        <v>2000</v>
      </c>
      <c r="D75" s="42">
        <v>544.27</v>
      </c>
      <c r="E75" s="42">
        <v>2544.27</v>
      </c>
      <c r="F75" s="43">
        <v>1877.59</v>
      </c>
      <c r="G75" s="42">
        <v>1877.59</v>
      </c>
      <c r="H75" s="42">
        <v>666.68</v>
      </c>
    </row>
    <row r="76" spans="1:8">
      <c r="A76" s="49" t="s">
        <v>139</v>
      </c>
      <c r="B76" s="49" t="s">
        <v>140</v>
      </c>
      <c r="C76" s="42">
        <v>10150000</v>
      </c>
      <c r="D76" s="42">
        <v>-955411.84</v>
      </c>
      <c r="E76" s="42">
        <v>9194588.1600000001</v>
      </c>
      <c r="F76" s="43">
        <v>1963466.1</v>
      </c>
      <c r="G76" s="42">
        <v>1111360.6399999999</v>
      </c>
      <c r="H76" s="42">
        <v>7231122.0599999996</v>
      </c>
    </row>
    <row r="77" spans="1:8">
      <c r="A77" s="49" t="s">
        <v>608</v>
      </c>
      <c r="B77" s="49" t="s">
        <v>609</v>
      </c>
      <c r="C77" s="42">
        <v>0</v>
      </c>
      <c r="D77" s="42">
        <v>963.58</v>
      </c>
      <c r="E77" s="42">
        <v>963.58</v>
      </c>
      <c r="F77" s="43">
        <v>963.58</v>
      </c>
      <c r="G77" s="42">
        <v>963.58</v>
      </c>
      <c r="H77" s="42">
        <v>0</v>
      </c>
    </row>
    <row r="78" spans="1:8">
      <c r="A78" s="49" t="s">
        <v>141</v>
      </c>
      <c r="B78" s="49" t="s">
        <v>142</v>
      </c>
      <c r="C78" s="42">
        <v>2150000</v>
      </c>
      <c r="D78" s="42">
        <v>242946.26</v>
      </c>
      <c r="E78" s="42">
        <v>2392946.2599999998</v>
      </c>
      <c r="F78" s="43">
        <v>1494147.18</v>
      </c>
      <c r="G78" s="42">
        <v>1093819.92</v>
      </c>
      <c r="H78" s="42">
        <v>898799.08</v>
      </c>
    </row>
    <row r="79" spans="1:8">
      <c r="A79" s="49" t="s">
        <v>143</v>
      </c>
      <c r="B79" s="49" t="s">
        <v>144</v>
      </c>
      <c r="C79" s="42">
        <v>8000000</v>
      </c>
      <c r="D79" s="42">
        <v>-1199321.68</v>
      </c>
      <c r="E79" s="42">
        <v>6800678.3200000003</v>
      </c>
      <c r="F79" s="43">
        <v>468355.34</v>
      </c>
      <c r="G79" s="42">
        <v>16577.14</v>
      </c>
      <c r="H79" s="42">
        <v>6332322.9800000004</v>
      </c>
    </row>
    <row r="80" spans="1:8">
      <c r="A80" s="49" t="s">
        <v>145</v>
      </c>
      <c r="B80" s="49" t="s">
        <v>146</v>
      </c>
      <c r="C80" s="42">
        <v>550500</v>
      </c>
      <c r="D80" s="42">
        <v>2589479.21</v>
      </c>
      <c r="E80" s="42">
        <v>3139979.21</v>
      </c>
      <c r="F80" s="43">
        <v>1512787.13</v>
      </c>
      <c r="G80" s="42">
        <v>974231.75</v>
      </c>
      <c r="H80" s="42">
        <v>1627192.08</v>
      </c>
    </row>
    <row r="81" spans="1:8">
      <c r="A81" s="49" t="s">
        <v>147</v>
      </c>
      <c r="B81" s="49" t="s">
        <v>148</v>
      </c>
      <c r="C81" s="42">
        <v>50000</v>
      </c>
      <c r="D81" s="42">
        <v>155962.76</v>
      </c>
      <c r="E81" s="42">
        <v>205962.76</v>
      </c>
      <c r="F81" s="43">
        <v>106484</v>
      </c>
      <c r="G81" s="42">
        <v>106129.66</v>
      </c>
      <c r="H81" s="42">
        <v>99478.76</v>
      </c>
    </row>
    <row r="82" spans="1:8">
      <c r="A82" s="49" t="s">
        <v>149</v>
      </c>
      <c r="B82" s="49" t="s">
        <v>150</v>
      </c>
      <c r="C82" s="42">
        <v>150000</v>
      </c>
      <c r="D82" s="42">
        <v>176465.09</v>
      </c>
      <c r="E82" s="42">
        <v>326465.09000000003</v>
      </c>
      <c r="F82" s="43">
        <v>229989</v>
      </c>
      <c r="G82" s="42">
        <v>229989</v>
      </c>
      <c r="H82" s="42">
        <v>96476.09</v>
      </c>
    </row>
    <row r="83" spans="1:8">
      <c r="A83" s="49" t="s">
        <v>151</v>
      </c>
      <c r="B83" s="49" t="s">
        <v>152</v>
      </c>
      <c r="C83" s="42">
        <v>500</v>
      </c>
      <c r="D83" s="42">
        <v>1654.5</v>
      </c>
      <c r="E83" s="42">
        <v>2154.5</v>
      </c>
      <c r="F83" s="43">
        <v>1718.29</v>
      </c>
      <c r="G83" s="42">
        <v>1718.29</v>
      </c>
      <c r="H83" s="42">
        <v>436.21</v>
      </c>
    </row>
    <row r="84" spans="1:8">
      <c r="A84" s="49" t="s">
        <v>153</v>
      </c>
      <c r="B84" s="49" t="s">
        <v>154</v>
      </c>
      <c r="C84" s="42">
        <v>0</v>
      </c>
      <c r="D84" s="42">
        <v>779.31</v>
      </c>
      <c r="E84" s="42">
        <v>779.31</v>
      </c>
      <c r="F84" s="43">
        <v>779.31</v>
      </c>
      <c r="G84" s="42">
        <v>779.31</v>
      </c>
      <c r="H84" s="42">
        <v>0</v>
      </c>
    </row>
    <row r="85" spans="1:8">
      <c r="A85" s="49" t="s">
        <v>155</v>
      </c>
      <c r="B85" s="49" t="s">
        <v>156</v>
      </c>
      <c r="C85" s="42">
        <v>0</v>
      </c>
      <c r="D85" s="42">
        <v>235</v>
      </c>
      <c r="E85" s="42">
        <v>235</v>
      </c>
      <c r="F85" s="43">
        <v>235</v>
      </c>
      <c r="G85" s="42">
        <v>235</v>
      </c>
      <c r="H85" s="42">
        <v>0</v>
      </c>
    </row>
    <row r="86" spans="1:8">
      <c r="A86" s="49" t="s">
        <v>157</v>
      </c>
      <c r="B86" s="49" t="s">
        <v>158</v>
      </c>
      <c r="C86" s="42">
        <v>100000</v>
      </c>
      <c r="D86" s="42">
        <v>1712867.41</v>
      </c>
      <c r="E86" s="42">
        <v>1812867.41</v>
      </c>
      <c r="F86" s="43">
        <v>943507.92</v>
      </c>
      <c r="G86" s="42">
        <v>477518.32</v>
      </c>
      <c r="H86" s="42">
        <v>869359.49</v>
      </c>
    </row>
    <row r="87" spans="1:8">
      <c r="A87" s="49" t="s">
        <v>159</v>
      </c>
      <c r="B87" s="49" t="s">
        <v>160</v>
      </c>
      <c r="C87" s="42">
        <v>50000</v>
      </c>
      <c r="D87" s="42">
        <v>397028.63</v>
      </c>
      <c r="E87" s="42">
        <v>447028.63</v>
      </c>
      <c r="F87" s="43">
        <v>65416.03</v>
      </c>
      <c r="G87" s="42">
        <v>47216.46</v>
      </c>
      <c r="H87" s="42">
        <v>381612.6</v>
      </c>
    </row>
    <row r="88" spans="1:8">
      <c r="A88" s="49" t="s">
        <v>161</v>
      </c>
      <c r="B88" s="49" t="s">
        <v>162</v>
      </c>
      <c r="C88" s="42">
        <v>150000</v>
      </c>
      <c r="D88" s="42">
        <v>115597.35</v>
      </c>
      <c r="E88" s="42">
        <v>265597.34999999998</v>
      </c>
      <c r="F88" s="43">
        <v>138440.91</v>
      </c>
      <c r="G88" s="42">
        <v>85780.04</v>
      </c>
      <c r="H88" s="42">
        <v>127156.44</v>
      </c>
    </row>
    <row r="89" spans="1:8">
      <c r="A89" s="49" t="s">
        <v>163</v>
      </c>
      <c r="B89" s="49" t="s">
        <v>164</v>
      </c>
      <c r="C89" s="42">
        <v>50000</v>
      </c>
      <c r="D89" s="42">
        <v>28889.16</v>
      </c>
      <c r="E89" s="42">
        <v>78889.16</v>
      </c>
      <c r="F89" s="43">
        <v>26216.67</v>
      </c>
      <c r="G89" s="42">
        <v>24865.67</v>
      </c>
      <c r="H89" s="42">
        <v>52672.49</v>
      </c>
    </row>
    <row r="90" spans="1:8">
      <c r="A90" s="49" t="s">
        <v>165</v>
      </c>
      <c r="B90" s="49" t="s">
        <v>166</v>
      </c>
      <c r="C90" s="42">
        <v>17894453</v>
      </c>
      <c r="D90" s="42">
        <v>-4186154.38</v>
      </c>
      <c r="E90" s="42">
        <v>13708298.619999999</v>
      </c>
      <c r="F90" s="43">
        <v>4123448.52</v>
      </c>
      <c r="G90" s="42">
        <v>2707421.65</v>
      </c>
      <c r="H90" s="42">
        <v>9584850.0999999996</v>
      </c>
    </row>
    <row r="91" spans="1:8">
      <c r="A91" s="49" t="s">
        <v>167</v>
      </c>
      <c r="B91" s="49" t="s">
        <v>168</v>
      </c>
      <c r="C91" s="42">
        <v>15887153</v>
      </c>
      <c r="D91" s="42">
        <v>-5105403.34</v>
      </c>
      <c r="E91" s="42">
        <v>10781749.66</v>
      </c>
      <c r="F91" s="43">
        <v>2087939.3</v>
      </c>
      <c r="G91" s="42">
        <v>1750910.58</v>
      </c>
      <c r="H91" s="42">
        <v>8693810.3599999994</v>
      </c>
    </row>
    <row r="92" spans="1:8">
      <c r="A92" s="49" t="s">
        <v>169</v>
      </c>
      <c r="B92" s="49" t="s">
        <v>170</v>
      </c>
      <c r="C92" s="42">
        <v>4500000</v>
      </c>
      <c r="D92" s="42">
        <v>-3739051.5</v>
      </c>
      <c r="E92" s="42">
        <v>760948.5</v>
      </c>
      <c r="F92" s="43">
        <v>718990.5</v>
      </c>
      <c r="G92" s="42">
        <v>555568.5</v>
      </c>
      <c r="H92" s="42">
        <v>41958</v>
      </c>
    </row>
    <row r="93" spans="1:8">
      <c r="A93" s="49" t="s">
        <v>171</v>
      </c>
      <c r="B93" s="49" t="s">
        <v>172</v>
      </c>
      <c r="C93" s="42">
        <v>11326653</v>
      </c>
      <c r="D93" s="42">
        <v>-1457902.18</v>
      </c>
      <c r="E93" s="42">
        <v>9868750.8200000003</v>
      </c>
      <c r="F93" s="43">
        <v>1282659.22</v>
      </c>
      <c r="G93" s="42">
        <v>1167909.22</v>
      </c>
      <c r="H93" s="42">
        <v>8586091.5999999996</v>
      </c>
    </row>
    <row r="94" spans="1:8">
      <c r="A94" s="49" t="s">
        <v>173</v>
      </c>
      <c r="B94" s="49" t="s">
        <v>174</v>
      </c>
      <c r="C94" s="42">
        <v>50000</v>
      </c>
      <c r="D94" s="42">
        <v>91374.48</v>
      </c>
      <c r="E94" s="42">
        <v>141374.48000000001</v>
      </c>
      <c r="F94" s="43">
        <v>86113.72</v>
      </c>
      <c r="G94" s="42">
        <v>27257</v>
      </c>
      <c r="H94" s="42">
        <v>55260.76</v>
      </c>
    </row>
    <row r="95" spans="1:8">
      <c r="A95" s="49" t="s">
        <v>175</v>
      </c>
      <c r="B95" s="49" t="s">
        <v>176</v>
      </c>
      <c r="C95" s="42">
        <v>10500</v>
      </c>
      <c r="D95" s="42">
        <v>175.86</v>
      </c>
      <c r="E95" s="42">
        <v>10675.86</v>
      </c>
      <c r="F95" s="43">
        <v>175.86</v>
      </c>
      <c r="G95" s="42">
        <v>175.86</v>
      </c>
      <c r="H95" s="42">
        <v>10500</v>
      </c>
    </row>
    <row r="96" spans="1:8">
      <c r="A96" s="49" t="s">
        <v>177</v>
      </c>
      <c r="B96" s="49" t="s">
        <v>178</v>
      </c>
      <c r="C96" s="42">
        <v>2007300</v>
      </c>
      <c r="D96" s="42">
        <v>919248.96</v>
      </c>
      <c r="E96" s="42">
        <v>2926548.96</v>
      </c>
      <c r="F96" s="43">
        <v>2035509.22</v>
      </c>
      <c r="G96" s="42">
        <v>956511.07</v>
      </c>
      <c r="H96" s="42">
        <v>891039.74</v>
      </c>
    </row>
    <row r="97" spans="1:8">
      <c r="A97" s="49" t="s">
        <v>179</v>
      </c>
      <c r="B97" s="49" t="s">
        <v>180</v>
      </c>
      <c r="C97" s="42">
        <v>5000</v>
      </c>
      <c r="D97" s="42">
        <v>228136.43</v>
      </c>
      <c r="E97" s="42">
        <v>233136.43</v>
      </c>
      <c r="F97" s="43">
        <v>180935.39</v>
      </c>
      <c r="G97" s="42">
        <v>170876.89</v>
      </c>
      <c r="H97" s="42">
        <v>52201.04</v>
      </c>
    </row>
    <row r="98" spans="1:8">
      <c r="A98" s="49" t="s">
        <v>181</v>
      </c>
      <c r="B98" s="49" t="s">
        <v>182</v>
      </c>
      <c r="C98" s="42">
        <v>2000000</v>
      </c>
      <c r="D98" s="42">
        <v>689484.08</v>
      </c>
      <c r="E98" s="42">
        <v>2689484.08</v>
      </c>
      <c r="F98" s="43">
        <v>1852643.56</v>
      </c>
      <c r="G98" s="42">
        <v>783703.91</v>
      </c>
      <c r="H98" s="42">
        <v>836840.52</v>
      </c>
    </row>
    <row r="99" spans="1:8">
      <c r="A99" s="49" t="s">
        <v>183</v>
      </c>
      <c r="B99" s="49" t="s">
        <v>184</v>
      </c>
      <c r="C99" s="42">
        <v>2300</v>
      </c>
      <c r="D99" s="42">
        <v>1628.45</v>
      </c>
      <c r="E99" s="42">
        <v>3928.45</v>
      </c>
      <c r="F99" s="43">
        <v>1930.27</v>
      </c>
      <c r="G99" s="42">
        <v>1930.27</v>
      </c>
      <c r="H99" s="42">
        <v>1998.18</v>
      </c>
    </row>
    <row r="100" spans="1:8">
      <c r="A100" s="49" t="s">
        <v>185</v>
      </c>
      <c r="B100" s="49" t="s">
        <v>186</v>
      </c>
      <c r="C100" s="42">
        <v>18130000</v>
      </c>
      <c r="D100" s="42">
        <v>-5313994.4800000004</v>
      </c>
      <c r="E100" s="42">
        <v>12816005.52</v>
      </c>
      <c r="F100" s="43">
        <v>9411785.0099999998</v>
      </c>
      <c r="G100" s="42">
        <v>7936805.8300000001</v>
      </c>
      <c r="H100" s="42">
        <v>3404220.51</v>
      </c>
    </row>
    <row r="101" spans="1:8">
      <c r="A101" s="49" t="s">
        <v>187</v>
      </c>
      <c r="B101" s="49" t="s">
        <v>188</v>
      </c>
      <c r="C101" s="42">
        <v>18130000</v>
      </c>
      <c r="D101" s="42">
        <v>-5313994.4800000004</v>
      </c>
      <c r="E101" s="42">
        <v>12816005.52</v>
      </c>
      <c r="F101" s="43">
        <v>9411785.0099999998</v>
      </c>
      <c r="G101" s="42">
        <v>7936805.8300000001</v>
      </c>
      <c r="H101" s="42">
        <v>3404220.51</v>
      </c>
    </row>
    <row r="102" spans="1:8">
      <c r="A102" s="49" t="s">
        <v>189</v>
      </c>
      <c r="B102" s="49" t="s">
        <v>190</v>
      </c>
      <c r="C102" s="42">
        <v>15000000</v>
      </c>
      <c r="D102" s="42">
        <v>-3518236.86</v>
      </c>
      <c r="E102" s="42">
        <v>11481763.140000001</v>
      </c>
      <c r="F102" s="43">
        <v>8885982.8000000007</v>
      </c>
      <c r="G102" s="42">
        <v>7545807.5499999998</v>
      </c>
      <c r="H102" s="42">
        <v>2595780.34</v>
      </c>
    </row>
    <row r="103" spans="1:8">
      <c r="A103" s="49" t="s">
        <v>191</v>
      </c>
      <c r="B103" s="49" t="s">
        <v>192</v>
      </c>
      <c r="C103" s="42">
        <v>3000000</v>
      </c>
      <c r="D103" s="42">
        <v>-1864851.1</v>
      </c>
      <c r="E103" s="42">
        <v>1135148.8999999999</v>
      </c>
      <c r="F103" s="43">
        <v>380904.32</v>
      </c>
      <c r="G103" s="42">
        <v>314608.78999999998</v>
      </c>
      <c r="H103" s="42">
        <v>754244.58</v>
      </c>
    </row>
    <row r="104" spans="1:8">
      <c r="A104" s="49" t="s">
        <v>193</v>
      </c>
      <c r="B104" s="49" t="s">
        <v>194</v>
      </c>
      <c r="C104" s="42">
        <v>130000</v>
      </c>
      <c r="D104" s="42">
        <v>69093.48</v>
      </c>
      <c r="E104" s="42">
        <v>199093.48</v>
      </c>
      <c r="F104" s="43">
        <v>144897.89000000001</v>
      </c>
      <c r="G104" s="42">
        <v>76389.490000000005</v>
      </c>
      <c r="H104" s="42">
        <v>54195.59</v>
      </c>
    </row>
    <row r="105" spans="1:8">
      <c r="A105" s="49" t="s">
        <v>195</v>
      </c>
      <c r="B105" s="49" t="s">
        <v>196</v>
      </c>
      <c r="C105" s="42">
        <v>363000</v>
      </c>
      <c r="D105" s="42">
        <v>346545.09</v>
      </c>
      <c r="E105" s="42">
        <v>709545.09</v>
      </c>
      <c r="F105" s="43">
        <v>183981.07</v>
      </c>
      <c r="G105" s="42">
        <v>146683.43</v>
      </c>
      <c r="H105" s="42">
        <v>525564.02</v>
      </c>
    </row>
    <row r="106" spans="1:8">
      <c r="A106" s="49" t="s">
        <v>197</v>
      </c>
      <c r="B106" s="49" t="s">
        <v>198</v>
      </c>
      <c r="C106" s="42">
        <v>112000</v>
      </c>
      <c r="D106" s="42">
        <v>45289.59</v>
      </c>
      <c r="E106" s="42">
        <v>157289.59</v>
      </c>
      <c r="F106" s="43">
        <v>1950</v>
      </c>
      <c r="G106" s="42">
        <v>0</v>
      </c>
      <c r="H106" s="42">
        <v>155339.59</v>
      </c>
    </row>
    <row r="107" spans="1:8">
      <c r="A107" s="49" t="s">
        <v>199</v>
      </c>
      <c r="B107" s="49" t="s">
        <v>200</v>
      </c>
      <c r="C107" s="42">
        <v>250000</v>
      </c>
      <c r="D107" s="42">
        <v>291074.40000000002</v>
      </c>
      <c r="E107" s="42">
        <v>541074.4</v>
      </c>
      <c r="F107" s="43">
        <v>171691.57</v>
      </c>
      <c r="G107" s="42">
        <v>136343.93</v>
      </c>
      <c r="H107" s="42">
        <v>369382.83</v>
      </c>
    </row>
    <row r="108" spans="1:8">
      <c r="A108" s="49" t="s">
        <v>201</v>
      </c>
      <c r="B108" s="49" t="s">
        <v>202</v>
      </c>
      <c r="C108" s="42">
        <v>0</v>
      </c>
      <c r="D108" s="42">
        <v>10156.14</v>
      </c>
      <c r="E108" s="42">
        <v>10156.14</v>
      </c>
      <c r="F108" s="43">
        <v>10156.14</v>
      </c>
      <c r="G108" s="42">
        <v>10156.14</v>
      </c>
      <c r="H108" s="42">
        <v>0</v>
      </c>
    </row>
    <row r="109" spans="1:8">
      <c r="A109" s="49" t="s">
        <v>203</v>
      </c>
      <c r="B109" s="49" t="s">
        <v>204</v>
      </c>
      <c r="C109" s="42">
        <v>1000</v>
      </c>
      <c r="D109" s="42">
        <v>24.96</v>
      </c>
      <c r="E109" s="42">
        <v>1024.96</v>
      </c>
      <c r="F109" s="43">
        <v>183.36</v>
      </c>
      <c r="G109" s="42">
        <v>183.36</v>
      </c>
      <c r="H109" s="42">
        <v>841.6</v>
      </c>
    </row>
    <row r="110" spans="1:8">
      <c r="A110" s="49" t="s">
        <v>205</v>
      </c>
      <c r="B110" s="49" t="s">
        <v>206</v>
      </c>
      <c r="C110" s="42">
        <v>2875000</v>
      </c>
      <c r="D110" s="42">
        <v>-738702.71</v>
      </c>
      <c r="E110" s="42">
        <v>2136297.29</v>
      </c>
      <c r="F110" s="43">
        <v>987143.82</v>
      </c>
      <c r="G110" s="42">
        <v>695301.57</v>
      </c>
      <c r="H110" s="42">
        <v>1149153.47</v>
      </c>
    </row>
    <row r="111" spans="1:8">
      <c r="A111" s="49" t="s">
        <v>207</v>
      </c>
      <c r="B111" s="49" t="s">
        <v>208</v>
      </c>
      <c r="C111" s="42">
        <v>2000000</v>
      </c>
      <c r="D111" s="42">
        <v>-1246721.3899999999</v>
      </c>
      <c r="E111" s="42">
        <v>753278.61</v>
      </c>
      <c r="F111" s="43">
        <v>372106.6</v>
      </c>
      <c r="G111" s="42">
        <v>263837.78999999998</v>
      </c>
      <c r="H111" s="42">
        <v>381172.01</v>
      </c>
    </row>
    <row r="112" spans="1:8">
      <c r="A112" s="49" t="s">
        <v>209</v>
      </c>
      <c r="B112" s="49" t="s">
        <v>210</v>
      </c>
      <c r="C112" s="42">
        <v>10000</v>
      </c>
      <c r="D112" s="42">
        <v>9711.59</v>
      </c>
      <c r="E112" s="42">
        <v>19711.59</v>
      </c>
      <c r="F112" s="43">
        <v>10354.540000000001</v>
      </c>
      <c r="G112" s="42">
        <v>9995.67</v>
      </c>
      <c r="H112" s="42">
        <v>9357.0499999999993</v>
      </c>
    </row>
    <row r="113" spans="1:8">
      <c r="A113" s="49" t="s">
        <v>211</v>
      </c>
      <c r="B113" s="49" t="s">
        <v>212</v>
      </c>
      <c r="C113" s="42">
        <v>250000</v>
      </c>
      <c r="D113" s="42">
        <v>254405.14</v>
      </c>
      <c r="E113" s="42">
        <v>504405.14</v>
      </c>
      <c r="F113" s="43">
        <v>230050.36</v>
      </c>
      <c r="G113" s="42">
        <v>165807.35999999999</v>
      </c>
      <c r="H113" s="42">
        <v>274354.78000000003</v>
      </c>
    </row>
    <row r="114" spans="1:8">
      <c r="A114" s="49" t="s">
        <v>213</v>
      </c>
      <c r="B114" s="49" t="s">
        <v>214</v>
      </c>
      <c r="C114" s="42">
        <v>100000</v>
      </c>
      <c r="D114" s="42">
        <v>-16307.02</v>
      </c>
      <c r="E114" s="42">
        <v>83692.98</v>
      </c>
      <c r="F114" s="43">
        <v>47018.07</v>
      </c>
      <c r="G114" s="42">
        <v>45185.31</v>
      </c>
      <c r="H114" s="42">
        <v>36674.910000000003</v>
      </c>
    </row>
    <row r="115" spans="1:8">
      <c r="A115" s="49" t="s">
        <v>610</v>
      </c>
      <c r="B115" s="49" t="s">
        <v>611</v>
      </c>
      <c r="C115" s="42">
        <v>0</v>
      </c>
      <c r="D115" s="42">
        <v>25428.74</v>
      </c>
      <c r="E115" s="42">
        <v>25428.74</v>
      </c>
      <c r="F115" s="43">
        <v>14439.65</v>
      </c>
      <c r="G115" s="42">
        <v>14439.65</v>
      </c>
      <c r="H115" s="42">
        <v>10989.09</v>
      </c>
    </row>
    <row r="116" spans="1:8">
      <c r="A116" s="49" t="s">
        <v>215</v>
      </c>
      <c r="B116" s="49" t="s">
        <v>216</v>
      </c>
      <c r="C116" s="42">
        <v>400000</v>
      </c>
      <c r="D116" s="42">
        <v>162190.95000000001</v>
      </c>
      <c r="E116" s="42">
        <v>562190.94999999995</v>
      </c>
      <c r="F116" s="43">
        <v>235033.61</v>
      </c>
      <c r="G116" s="42">
        <v>132294.79999999999</v>
      </c>
      <c r="H116" s="42">
        <v>327157.34000000003</v>
      </c>
    </row>
    <row r="117" spans="1:8">
      <c r="A117" s="49" t="s">
        <v>217</v>
      </c>
      <c r="B117" s="49" t="s">
        <v>218</v>
      </c>
      <c r="C117" s="42">
        <v>100000</v>
      </c>
      <c r="D117" s="42">
        <v>18940.45</v>
      </c>
      <c r="E117" s="42">
        <v>118940.45</v>
      </c>
      <c r="F117" s="43">
        <v>29988.38</v>
      </c>
      <c r="G117" s="42">
        <v>15588.38</v>
      </c>
      <c r="H117" s="42">
        <v>88952.07</v>
      </c>
    </row>
    <row r="118" spans="1:8">
      <c r="A118" s="49" t="s">
        <v>219</v>
      </c>
      <c r="B118" s="49" t="s">
        <v>220</v>
      </c>
      <c r="C118" s="42">
        <v>15000</v>
      </c>
      <c r="D118" s="42">
        <v>53648.83</v>
      </c>
      <c r="E118" s="42">
        <v>68648.83</v>
      </c>
      <c r="F118" s="43">
        <v>48152.61</v>
      </c>
      <c r="G118" s="42">
        <v>48152.61</v>
      </c>
      <c r="H118" s="42">
        <v>20496.22</v>
      </c>
    </row>
    <row r="119" spans="1:8">
      <c r="A119" s="49" t="s">
        <v>221</v>
      </c>
      <c r="B119" s="49" t="s">
        <v>222</v>
      </c>
      <c r="C119" s="42">
        <v>0</v>
      </c>
      <c r="D119" s="42">
        <v>54590</v>
      </c>
      <c r="E119" s="42">
        <v>54590</v>
      </c>
      <c r="F119" s="43">
        <v>42410</v>
      </c>
      <c r="G119" s="42">
        <v>42410</v>
      </c>
      <c r="H119" s="42">
        <v>12180</v>
      </c>
    </row>
    <row r="120" spans="1:8">
      <c r="A120" s="49" t="s">
        <v>223</v>
      </c>
      <c r="B120" s="49" t="s">
        <v>220</v>
      </c>
      <c r="C120" s="42">
        <v>15000</v>
      </c>
      <c r="D120" s="42">
        <v>-941.17</v>
      </c>
      <c r="E120" s="42">
        <v>14058.83</v>
      </c>
      <c r="F120" s="43">
        <v>5742.61</v>
      </c>
      <c r="G120" s="42">
        <v>5742.61</v>
      </c>
      <c r="H120" s="42">
        <v>8316.2199999999993</v>
      </c>
    </row>
    <row r="121" spans="1:8">
      <c r="A121" s="20" t="s">
        <v>224</v>
      </c>
      <c r="B121" s="30" t="s">
        <v>600</v>
      </c>
      <c r="C121" s="21">
        <v>780415050</v>
      </c>
      <c r="D121" s="21">
        <v>20813421.969999999</v>
      </c>
      <c r="E121" s="21">
        <v>801228471.97000003</v>
      </c>
      <c r="F121" s="48">
        <v>388786603.36000001</v>
      </c>
      <c r="G121" s="21">
        <v>198634898.5</v>
      </c>
      <c r="H121" s="21">
        <v>412441868.61000001</v>
      </c>
    </row>
    <row r="122" spans="1:8">
      <c r="A122" s="49" t="s">
        <v>225</v>
      </c>
      <c r="B122" s="49" t="s">
        <v>226</v>
      </c>
      <c r="C122" s="42">
        <v>780411750</v>
      </c>
      <c r="D122" s="42">
        <v>20781820.969999999</v>
      </c>
      <c r="E122" s="42">
        <v>801193570.97000003</v>
      </c>
      <c r="F122" s="43">
        <v>388754272.35000002</v>
      </c>
      <c r="G122" s="42">
        <v>198606272.49000001</v>
      </c>
      <c r="H122" s="42">
        <v>412439298.62</v>
      </c>
    </row>
    <row r="123" spans="1:8">
      <c r="A123" s="49" t="s">
        <v>227</v>
      </c>
      <c r="B123" s="49" t="s">
        <v>228</v>
      </c>
      <c r="C123" s="42">
        <v>304629850</v>
      </c>
      <c r="D123" s="42">
        <v>63266.5</v>
      </c>
      <c r="E123" s="42">
        <v>304693116.5</v>
      </c>
      <c r="F123" s="43">
        <v>157717099.28</v>
      </c>
      <c r="G123" s="42">
        <v>42172377.659999996</v>
      </c>
      <c r="H123" s="42">
        <v>146976017.22</v>
      </c>
    </row>
    <row r="124" spans="1:8">
      <c r="A124" s="49" t="s">
        <v>229</v>
      </c>
      <c r="B124" s="49" t="s">
        <v>230</v>
      </c>
      <c r="C124" s="42">
        <v>303865000</v>
      </c>
      <c r="D124" s="42">
        <v>0</v>
      </c>
      <c r="E124" s="42">
        <v>303865000</v>
      </c>
      <c r="F124" s="43">
        <v>157191430.86000001</v>
      </c>
      <c r="G124" s="42">
        <v>41750912.420000002</v>
      </c>
      <c r="H124" s="42">
        <v>146673569.13999999</v>
      </c>
    </row>
    <row r="125" spans="1:8">
      <c r="A125" s="49" t="s">
        <v>231</v>
      </c>
      <c r="B125" s="49" t="s">
        <v>232</v>
      </c>
      <c r="C125" s="42">
        <v>303865000</v>
      </c>
      <c r="D125" s="42">
        <v>0</v>
      </c>
      <c r="E125" s="42">
        <v>303865000</v>
      </c>
      <c r="F125" s="43">
        <v>157191430.86000001</v>
      </c>
      <c r="G125" s="42">
        <v>41750912.420000002</v>
      </c>
      <c r="H125" s="42">
        <v>146673569.13999999</v>
      </c>
    </row>
    <row r="126" spans="1:8">
      <c r="A126" s="49" t="s">
        <v>233</v>
      </c>
      <c r="B126" s="49" t="s">
        <v>234</v>
      </c>
      <c r="C126" s="42">
        <v>13650</v>
      </c>
      <c r="D126" s="42">
        <v>102290.65</v>
      </c>
      <c r="E126" s="42">
        <v>115940.65</v>
      </c>
      <c r="F126" s="43">
        <v>102290.65</v>
      </c>
      <c r="G126" s="42">
        <v>0</v>
      </c>
      <c r="H126" s="42">
        <v>13650</v>
      </c>
    </row>
    <row r="127" spans="1:8">
      <c r="A127" s="49" t="s">
        <v>235</v>
      </c>
      <c r="B127" s="49" t="s">
        <v>236</v>
      </c>
      <c r="C127" s="42">
        <v>13650</v>
      </c>
      <c r="D127" s="42">
        <v>102290.65</v>
      </c>
      <c r="E127" s="42">
        <v>115940.65</v>
      </c>
      <c r="F127" s="43">
        <v>102290.65</v>
      </c>
      <c r="G127" s="42">
        <v>0</v>
      </c>
      <c r="H127" s="42">
        <v>13650</v>
      </c>
    </row>
    <row r="128" spans="1:8">
      <c r="A128" s="49" t="s">
        <v>237</v>
      </c>
      <c r="B128" s="49" t="s">
        <v>238</v>
      </c>
      <c r="C128" s="42">
        <v>417000</v>
      </c>
      <c r="D128" s="42">
        <v>-23499.3</v>
      </c>
      <c r="E128" s="42">
        <v>393500.7</v>
      </c>
      <c r="F128" s="43">
        <v>212818.47</v>
      </c>
      <c r="G128" s="42">
        <v>212128.77</v>
      </c>
      <c r="H128" s="42">
        <v>180682.23</v>
      </c>
    </row>
    <row r="129" spans="1:8">
      <c r="A129" s="49" t="s">
        <v>239</v>
      </c>
      <c r="B129" s="49" t="s">
        <v>240</v>
      </c>
      <c r="C129" s="42">
        <v>326000</v>
      </c>
      <c r="D129" s="42">
        <v>-17246.25</v>
      </c>
      <c r="E129" s="42">
        <v>308753.75</v>
      </c>
      <c r="F129" s="43">
        <v>182225.95</v>
      </c>
      <c r="G129" s="42">
        <v>182225.95</v>
      </c>
      <c r="H129" s="42">
        <v>126527.8</v>
      </c>
    </row>
    <row r="130" spans="1:8">
      <c r="A130" s="49" t="s">
        <v>241</v>
      </c>
      <c r="B130" s="49" t="s">
        <v>242</v>
      </c>
      <c r="C130" s="42">
        <v>91000</v>
      </c>
      <c r="D130" s="42">
        <v>-6253.05</v>
      </c>
      <c r="E130" s="42">
        <v>84746.95</v>
      </c>
      <c r="F130" s="43">
        <v>30592.52</v>
      </c>
      <c r="G130" s="42">
        <v>29902.82</v>
      </c>
      <c r="H130" s="42">
        <v>54154.43</v>
      </c>
    </row>
    <row r="131" spans="1:8">
      <c r="A131" s="49" t="s">
        <v>243</v>
      </c>
      <c r="B131" s="49" t="s">
        <v>244</v>
      </c>
      <c r="C131" s="42">
        <v>333000</v>
      </c>
      <c r="D131" s="42">
        <v>-15604.16</v>
      </c>
      <c r="E131" s="42">
        <v>317395.84000000003</v>
      </c>
      <c r="F131" s="43">
        <v>210479.99</v>
      </c>
      <c r="G131" s="42">
        <v>209257.16</v>
      </c>
      <c r="H131" s="42">
        <v>106915.85</v>
      </c>
    </row>
    <row r="132" spans="1:8">
      <c r="A132" s="49" t="s">
        <v>245</v>
      </c>
      <c r="B132" s="49" t="s">
        <v>246</v>
      </c>
      <c r="C132" s="42">
        <v>333000</v>
      </c>
      <c r="D132" s="42">
        <v>-15604.16</v>
      </c>
      <c r="E132" s="42">
        <v>317395.84000000003</v>
      </c>
      <c r="F132" s="43">
        <v>210479.99</v>
      </c>
      <c r="G132" s="42">
        <v>209257.16</v>
      </c>
      <c r="H132" s="42">
        <v>106915.85</v>
      </c>
    </row>
    <row r="133" spans="1:8">
      <c r="A133" s="49" t="s">
        <v>247</v>
      </c>
      <c r="B133" s="49" t="s">
        <v>248</v>
      </c>
      <c r="C133" s="42">
        <v>1200</v>
      </c>
      <c r="D133" s="42">
        <v>79.31</v>
      </c>
      <c r="E133" s="42">
        <v>1279.31</v>
      </c>
      <c r="F133" s="43">
        <v>79.31</v>
      </c>
      <c r="G133" s="42">
        <v>79.31</v>
      </c>
      <c r="H133" s="42">
        <v>1200</v>
      </c>
    </row>
    <row r="134" spans="1:8">
      <c r="A134" s="49" t="s">
        <v>249</v>
      </c>
      <c r="B134" s="49" t="s">
        <v>250</v>
      </c>
      <c r="C134" s="42">
        <v>1200</v>
      </c>
      <c r="D134" s="42">
        <v>79.31</v>
      </c>
      <c r="E134" s="42">
        <v>1279.31</v>
      </c>
      <c r="F134" s="43">
        <v>79.31</v>
      </c>
      <c r="G134" s="42">
        <v>79.31</v>
      </c>
      <c r="H134" s="42">
        <v>1200</v>
      </c>
    </row>
    <row r="135" spans="1:8">
      <c r="A135" s="49" t="s">
        <v>251</v>
      </c>
      <c r="B135" s="49" t="s">
        <v>252</v>
      </c>
      <c r="C135" s="42">
        <v>2501600</v>
      </c>
      <c r="D135" s="42">
        <v>522842.1</v>
      </c>
      <c r="E135" s="42">
        <v>3024442.1</v>
      </c>
      <c r="F135" s="43">
        <v>1669940.51</v>
      </c>
      <c r="G135" s="42">
        <v>1397348.59</v>
      </c>
      <c r="H135" s="42">
        <v>1354501.59</v>
      </c>
    </row>
    <row r="136" spans="1:8">
      <c r="A136" s="49" t="s">
        <v>253</v>
      </c>
      <c r="B136" s="49" t="s">
        <v>254</v>
      </c>
      <c r="C136" s="42">
        <v>1416500</v>
      </c>
      <c r="D136" s="42">
        <v>35260</v>
      </c>
      <c r="E136" s="42">
        <v>1451760</v>
      </c>
      <c r="F136" s="43">
        <v>711523.28</v>
      </c>
      <c r="G136" s="42">
        <v>706831.77</v>
      </c>
      <c r="H136" s="42">
        <v>740236.72</v>
      </c>
    </row>
    <row r="137" spans="1:8">
      <c r="A137" s="49" t="s">
        <v>255</v>
      </c>
      <c r="B137" s="49" t="s">
        <v>256</v>
      </c>
      <c r="C137" s="42">
        <v>1416500</v>
      </c>
      <c r="D137" s="42">
        <v>35260</v>
      </c>
      <c r="E137" s="42">
        <v>1451760</v>
      </c>
      <c r="F137" s="43">
        <v>711523.28</v>
      </c>
      <c r="G137" s="42">
        <v>706831.77</v>
      </c>
      <c r="H137" s="42">
        <v>740236.72</v>
      </c>
    </row>
    <row r="138" spans="1:8">
      <c r="A138" s="49" t="s">
        <v>257</v>
      </c>
      <c r="B138" s="49" t="s">
        <v>258</v>
      </c>
      <c r="C138" s="42">
        <v>851000</v>
      </c>
      <c r="D138" s="42">
        <v>164863.19</v>
      </c>
      <c r="E138" s="42">
        <v>1015863.19</v>
      </c>
      <c r="F138" s="43">
        <v>615167.23</v>
      </c>
      <c r="G138" s="42">
        <v>474366.82</v>
      </c>
      <c r="H138" s="42">
        <v>400695.96</v>
      </c>
    </row>
    <row r="139" spans="1:8">
      <c r="A139" s="49" t="s">
        <v>259</v>
      </c>
      <c r="B139" s="49" t="s">
        <v>260</v>
      </c>
      <c r="C139" s="42">
        <v>3100</v>
      </c>
      <c r="D139" s="42">
        <v>325950</v>
      </c>
      <c r="E139" s="42">
        <v>329050</v>
      </c>
      <c r="F139" s="43">
        <v>325950</v>
      </c>
      <c r="G139" s="42">
        <v>198850</v>
      </c>
      <c r="H139" s="42">
        <v>3100</v>
      </c>
    </row>
    <row r="140" spans="1:8">
      <c r="A140" s="49" t="s">
        <v>261</v>
      </c>
      <c r="B140" s="49" t="s">
        <v>262</v>
      </c>
      <c r="C140" s="42">
        <v>150000</v>
      </c>
      <c r="D140" s="42">
        <v>60219.51</v>
      </c>
      <c r="E140" s="42">
        <v>210219.51</v>
      </c>
      <c r="F140" s="43">
        <v>17300</v>
      </c>
      <c r="G140" s="42">
        <v>17300</v>
      </c>
      <c r="H140" s="42">
        <v>192919.51</v>
      </c>
    </row>
    <row r="141" spans="1:8">
      <c r="A141" s="49" t="s">
        <v>263</v>
      </c>
      <c r="B141" s="49" t="s">
        <v>264</v>
      </c>
      <c r="C141" s="42">
        <v>1000</v>
      </c>
      <c r="D141" s="42">
        <v>0</v>
      </c>
      <c r="E141" s="42">
        <v>1000</v>
      </c>
      <c r="F141" s="43">
        <v>0</v>
      </c>
      <c r="G141" s="42">
        <v>0</v>
      </c>
      <c r="H141" s="42">
        <v>1000</v>
      </c>
    </row>
    <row r="142" spans="1:8">
      <c r="A142" s="49" t="s">
        <v>265</v>
      </c>
      <c r="B142" s="49" t="s">
        <v>266</v>
      </c>
      <c r="C142" s="42">
        <v>80000</v>
      </c>
      <c r="D142" s="42">
        <v>-63450.6</v>
      </c>
      <c r="E142" s="42">
        <v>16549.400000000001</v>
      </c>
      <c r="F142" s="43">
        <v>0</v>
      </c>
      <c r="G142" s="42">
        <v>0</v>
      </c>
      <c r="H142" s="42">
        <v>16549.400000000001</v>
      </c>
    </row>
    <row r="143" spans="1:8">
      <c r="A143" s="49" t="s">
        <v>267</v>
      </c>
      <c r="B143" s="49" t="s">
        <v>268</v>
      </c>
      <c r="C143" s="42">
        <v>11979500</v>
      </c>
      <c r="D143" s="42">
        <v>-2209322.6</v>
      </c>
      <c r="E143" s="42">
        <v>9770177.4000000004</v>
      </c>
      <c r="F143" s="43">
        <v>7033579.9800000004</v>
      </c>
      <c r="G143" s="42">
        <v>4899404.49</v>
      </c>
      <c r="H143" s="42">
        <v>2736597.42</v>
      </c>
    </row>
    <row r="144" spans="1:8">
      <c r="A144" s="49" t="s">
        <v>269</v>
      </c>
      <c r="B144" s="49" t="s">
        <v>270</v>
      </c>
      <c r="C144" s="42">
        <v>2030000</v>
      </c>
      <c r="D144" s="42">
        <v>526808.75</v>
      </c>
      <c r="E144" s="42">
        <v>2556808.75</v>
      </c>
      <c r="F144" s="43">
        <v>2440462.42</v>
      </c>
      <c r="G144" s="42">
        <v>2175462.42</v>
      </c>
      <c r="H144" s="42">
        <v>116346.33</v>
      </c>
    </row>
    <row r="145" spans="1:8">
      <c r="A145" s="49" t="s">
        <v>612</v>
      </c>
      <c r="B145" s="49" t="s">
        <v>613</v>
      </c>
      <c r="C145" s="42">
        <v>0</v>
      </c>
      <c r="D145" s="42">
        <v>64000</v>
      </c>
      <c r="E145" s="42">
        <v>64000</v>
      </c>
      <c r="F145" s="43">
        <v>63999.99</v>
      </c>
      <c r="G145" s="42">
        <v>63999.99</v>
      </c>
      <c r="H145" s="42">
        <v>0.01</v>
      </c>
    </row>
    <row r="146" spans="1:8">
      <c r="A146" s="49" t="s">
        <v>271</v>
      </c>
      <c r="B146" s="49" t="s">
        <v>272</v>
      </c>
      <c r="C146" s="42">
        <v>2000000</v>
      </c>
      <c r="D146" s="42">
        <v>40284.839999999997</v>
      </c>
      <c r="E146" s="42">
        <v>2040284.84</v>
      </c>
      <c r="F146" s="43">
        <v>1975000</v>
      </c>
      <c r="G146" s="42">
        <v>1845000</v>
      </c>
      <c r="H146" s="42">
        <v>65284.84</v>
      </c>
    </row>
    <row r="147" spans="1:8">
      <c r="A147" s="49" t="s">
        <v>273</v>
      </c>
      <c r="B147" s="49" t="s">
        <v>274</v>
      </c>
      <c r="C147" s="42">
        <v>30000</v>
      </c>
      <c r="D147" s="42">
        <v>-3419.65</v>
      </c>
      <c r="E147" s="42">
        <v>26580.35</v>
      </c>
      <c r="F147" s="43">
        <v>518.87</v>
      </c>
      <c r="G147" s="42">
        <v>518.87</v>
      </c>
      <c r="H147" s="42">
        <v>26061.48</v>
      </c>
    </row>
    <row r="148" spans="1:8">
      <c r="A148" s="49" t="s">
        <v>614</v>
      </c>
      <c r="B148" s="49" t="s">
        <v>615</v>
      </c>
      <c r="C148" s="42">
        <v>0</v>
      </c>
      <c r="D148" s="42">
        <v>200000</v>
      </c>
      <c r="E148" s="42">
        <v>200000</v>
      </c>
      <c r="F148" s="43">
        <v>175000</v>
      </c>
      <c r="G148" s="42">
        <v>125000</v>
      </c>
      <c r="H148" s="42">
        <v>25000</v>
      </c>
    </row>
    <row r="149" spans="1:8">
      <c r="A149" s="49" t="s">
        <v>616</v>
      </c>
      <c r="B149" s="49" t="s">
        <v>617</v>
      </c>
      <c r="C149" s="42">
        <v>0</v>
      </c>
      <c r="D149" s="42">
        <v>170000</v>
      </c>
      <c r="E149" s="42">
        <v>170000</v>
      </c>
      <c r="F149" s="43">
        <v>170000</v>
      </c>
      <c r="G149" s="42">
        <v>85000</v>
      </c>
      <c r="H149" s="42">
        <v>0</v>
      </c>
    </row>
    <row r="150" spans="1:8">
      <c r="A150" s="49" t="s">
        <v>618</v>
      </c>
      <c r="B150" s="49" t="s">
        <v>619</v>
      </c>
      <c r="C150" s="42">
        <v>0</v>
      </c>
      <c r="D150" s="42">
        <v>55943.56</v>
      </c>
      <c r="E150" s="42">
        <v>55943.56</v>
      </c>
      <c r="F150" s="43">
        <v>55943.56</v>
      </c>
      <c r="G150" s="42">
        <v>55943.56</v>
      </c>
      <c r="H150" s="42">
        <v>0</v>
      </c>
    </row>
    <row r="151" spans="1:8">
      <c r="A151" s="49" t="s">
        <v>275</v>
      </c>
      <c r="B151" s="49" t="s">
        <v>276</v>
      </c>
      <c r="C151" s="42">
        <v>3000000</v>
      </c>
      <c r="D151" s="42">
        <v>-1846860.22</v>
      </c>
      <c r="E151" s="42">
        <v>1153139.78</v>
      </c>
      <c r="F151" s="43">
        <v>623000</v>
      </c>
      <c r="G151" s="42">
        <v>620000</v>
      </c>
      <c r="H151" s="42">
        <v>530139.78</v>
      </c>
    </row>
    <row r="152" spans="1:8">
      <c r="A152" s="49" t="s">
        <v>277</v>
      </c>
      <c r="B152" s="49" t="s">
        <v>278</v>
      </c>
      <c r="C152" s="42">
        <v>3000000</v>
      </c>
      <c r="D152" s="42">
        <v>-1846860.22</v>
      </c>
      <c r="E152" s="42">
        <v>1153139.78</v>
      </c>
      <c r="F152" s="43">
        <v>623000</v>
      </c>
      <c r="G152" s="42">
        <v>620000</v>
      </c>
      <c r="H152" s="42">
        <v>530139.78</v>
      </c>
    </row>
    <row r="153" spans="1:8">
      <c r="A153" s="49" t="s">
        <v>279</v>
      </c>
      <c r="B153" s="49" t="s">
        <v>280</v>
      </c>
      <c r="C153" s="42">
        <v>3000000</v>
      </c>
      <c r="D153" s="42">
        <v>-1846860.22</v>
      </c>
      <c r="E153" s="42">
        <v>1153139.78</v>
      </c>
      <c r="F153" s="43">
        <v>623000</v>
      </c>
      <c r="G153" s="42">
        <v>620000</v>
      </c>
      <c r="H153" s="42">
        <v>530139.78</v>
      </c>
    </row>
    <row r="154" spans="1:8">
      <c r="A154" s="49" t="s">
        <v>281</v>
      </c>
      <c r="B154" s="49" t="s">
        <v>282</v>
      </c>
      <c r="C154" s="42">
        <v>369500</v>
      </c>
      <c r="D154" s="42">
        <v>-32704.46</v>
      </c>
      <c r="E154" s="42">
        <v>336795.54</v>
      </c>
      <c r="F154" s="43">
        <v>41566.65</v>
      </c>
      <c r="G154" s="42">
        <v>23566.65</v>
      </c>
      <c r="H154" s="42">
        <v>295228.89</v>
      </c>
    </row>
    <row r="155" spans="1:8">
      <c r="A155" s="49" t="s">
        <v>283</v>
      </c>
      <c r="B155" s="49" t="s">
        <v>284</v>
      </c>
      <c r="C155" s="42">
        <v>189500</v>
      </c>
      <c r="D155" s="42">
        <v>-16104.46</v>
      </c>
      <c r="E155" s="42">
        <v>173395.54</v>
      </c>
      <c r="F155" s="43">
        <v>13566.65</v>
      </c>
      <c r="G155" s="42">
        <v>5566.65</v>
      </c>
      <c r="H155" s="42">
        <v>159828.89000000001</v>
      </c>
    </row>
    <row r="156" spans="1:8">
      <c r="A156" s="49" t="s">
        <v>285</v>
      </c>
      <c r="B156" s="49" t="s">
        <v>286</v>
      </c>
      <c r="C156" s="42">
        <v>95000</v>
      </c>
      <c r="D156" s="42">
        <v>772.91</v>
      </c>
      <c r="E156" s="42">
        <v>95772.91</v>
      </c>
      <c r="F156" s="43">
        <v>13566.65</v>
      </c>
      <c r="G156" s="42">
        <v>5566.65</v>
      </c>
      <c r="H156" s="42">
        <v>82206.259999999995</v>
      </c>
    </row>
    <row r="157" spans="1:8">
      <c r="A157" s="49" t="s">
        <v>287</v>
      </c>
      <c r="B157" s="49" t="s">
        <v>288</v>
      </c>
      <c r="C157" s="42">
        <v>94500</v>
      </c>
      <c r="D157" s="42">
        <v>-16877.37</v>
      </c>
      <c r="E157" s="42">
        <v>77622.63</v>
      </c>
      <c r="F157" s="43">
        <v>0</v>
      </c>
      <c r="G157" s="42">
        <v>0</v>
      </c>
      <c r="H157" s="42">
        <v>77622.63</v>
      </c>
    </row>
    <row r="158" spans="1:8">
      <c r="A158" s="49" t="s">
        <v>289</v>
      </c>
      <c r="B158" s="49" t="s">
        <v>290</v>
      </c>
      <c r="C158" s="42">
        <v>180000</v>
      </c>
      <c r="D158" s="42">
        <v>-16600</v>
      </c>
      <c r="E158" s="42">
        <v>163400</v>
      </c>
      <c r="F158" s="43">
        <v>28000</v>
      </c>
      <c r="G158" s="42">
        <v>18000</v>
      </c>
      <c r="H158" s="42">
        <v>135400</v>
      </c>
    </row>
    <row r="159" spans="1:8">
      <c r="A159" s="49" t="s">
        <v>291</v>
      </c>
      <c r="B159" s="49" t="s">
        <v>286</v>
      </c>
      <c r="C159" s="42">
        <v>180000</v>
      </c>
      <c r="D159" s="42">
        <v>-16600</v>
      </c>
      <c r="E159" s="42">
        <v>163400</v>
      </c>
      <c r="F159" s="43">
        <v>28000</v>
      </c>
      <c r="G159" s="42">
        <v>18000</v>
      </c>
      <c r="H159" s="42">
        <v>135400</v>
      </c>
    </row>
    <row r="160" spans="1:8">
      <c r="A160" s="49" t="s">
        <v>292</v>
      </c>
      <c r="B160" s="49" t="s">
        <v>293</v>
      </c>
      <c r="C160" s="42">
        <v>20000</v>
      </c>
      <c r="D160" s="42">
        <v>-2370.23</v>
      </c>
      <c r="E160" s="42">
        <v>17629.77</v>
      </c>
      <c r="F160" s="43">
        <v>2955.93</v>
      </c>
      <c r="G160" s="42">
        <v>1980.48</v>
      </c>
      <c r="H160" s="42">
        <v>14673.84</v>
      </c>
    </row>
    <row r="161" spans="1:8">
      <c r="A161" s="49" t="s">
        <v>294</v>
      </c>
      <c r="B161" s="49" t="s">
        <v>295</v>
      </c>
      <c r="C161" s="42">
        <v>20000</v>
      </c>
      <c r="D161" s="42">
        <v>-2370.23</v>
      </c>
      <c r="E161" s="42">
        <v>17629.77</v>
      </c>
      <c r="F161" s="43">
        <v>2955.93</v>
      </c>
      <c r="G161" s="42">
        <v>1980.48</v>
      </c>
      <c r="H161" s="42">
        <v>14673.84</v>
      </c>
    </row>
    <row r="162" spans="1:8">
      <c r="A162" s="49" t="s">
        <v>296</v>
      </c>
      <c r="B162" s="49" t="s">
        <v>297</v>
      </c>
      <c r="C162" s="42">
        <v>20000</v>
      </c>
      <c r="D162" s="42">
        <v>-2370.23</v>
      </c>
      <c r="E162" s="42">
        <v>17629.77</v>
      </c>
      <c r="F162" s="43">
        <v>2955.93</v>
      </c>
      <c r="G162" s="42">
        <v>1980.48</v>
      </c>
      <c r="H162" s="42">
        <v>14673.84</v>
      </c>
    </row>
    <row r="163" spans="1:8">
      <c r="A163" s="49" t="s">
        <v>298</v>
      </c>
      <c r="B163" s="49" t="s">
        <v>299</v>
      </c>
      <c r="C163" s="42">
        <v>4150000</v>
      </c>
      <c r="D163" s="42">
        <v>-86265.84</v>
      </c>
      <c r="E163" s="42">
        <v>4063734.16</v>
      </c>
      <c r="F163" s="43">
        <v>2837754.98</v>
      </c>
      <c r="G163" s="42">
        <v>2078394.94</v>
      </c>
      <c r="H163" s="42">
        <v>1225979.18</v>
      </c>
    </row>
    <row r="164" spans="1:8">
      <c r="A164" s="49" t="s">
        <v>300</v>
      </c>
      <c r="B164" s="49" t="s">
        <v>301</v>
      </c>
      <c r="C164" s="42">
        <v>2410000</v>
      </c>
      <c r="D164" s="42">
        <v>-767930.6</v>
      </c>
      <c r="E164" s="42">
        <v>1642069.4</v>
      </c>
      <c r="F164" s="43">
        <v>1087840</v>
      </c>
      <c r="G164" s="42">
        <v>0</v>
      </c>
      <c r="H164" s="42">
        <v>554229.4</v>
      </c>
    </row>
    <row r="165" spans="1:8">
      <c r="A165" s="49" t="s">
        <v>302</v>
      </c>
      <c r="B165" s="49" t="s">
        <v>303</v>
      </c>
      <c r="C165" s="42">
        <v>2400000</v>
      </c>
      <c r="D165" s="42">
        <v>-779930.6</v>
      </c>
      <c r="E165" s="42">
        <v>1620069.4</v>
      </c>
      <c r="F165" s="43">
        <v>1075840</v>
      </c>
      <c r="G165" s="42">
        <v>0</v>
      </c>
      <c r="H165" s="42">
        <v>544229.4</v>
      </c>
    </row>
    <row r="166" spans="1:8">
      <c r="A166" s="49" t="s">
        <v>304</v>
      </c>
      <c r="B166" s="49" t="s">
        <v>305</v>
      </c>
      <c r="C166" s="42">
        <v>10000</v>
      </c>
      <c r="D166" s="42">
        <v>0</v>
      </c>
      <c r="E166" s="42">
        <v>10000</v>
      </c>
      <c r="F166" s="43">
        <v>0</v>
      </c>
      <c r="G166" s="42">
        <v>0</v>
      </c>
      <c r="H166" s="42">
        <v>10000</v>
      </c>
    </row>
    <row r="167" spans="1:8">
      <c r="A167" s="49" t="s">
        <v>306</v>
      </c>
      <c r="B167" s="49" t="s">
        <v>307</v>
      </c>
      <c r="C167" s="42">
        <v>0</v>
      </c>
      <c r="D167" s="42">
        <v>12000</v>
      </c>
      <c r="E167" s="42">
        <v>12000</v>
      </c>
      <c r="F167" s="43">
        <v>12000</v>
      </c>
      <c r="G167" s="42">
        <v>0</v>
      </c>
      <c r="H167" s="42">
        <v>0</v>
      </c>
    </row>
    <row r="168" spans="1:8">
      <c r="A168" s="49" t="s">
        <v>308</v>
      </c>
      <c r="B168" s="49" t="s">
        <v>309</v>
      </c>
      <c r="C168" s="42">
        <v>27722800</v>
      </c>
      <c r="D168" s="42">
        <v>7825848.8200000003</v>
      </c>
      <c r="E168" s="42">
        <v>35548648.82</v>
      </c>
      <c r="F168" s="43">
        <v>23337897.109999999</v>
      </c>
      <c r="G168" s="42">
        <v>20932723.780000001</v>
      </c>
      <c r="H168" s="42">
        <v>12210751.710000001</v>
      </c>
    </row>
    <row r="169" spans="1:8">
      <c r="A169" s="49" t="s">
        <v>310</v>
      </c>
      <c r="B169" s="49" t="s">
        <v>311</v>
      </c>
      <c r="C169" s="42">
        <v>4865600</v>
      </c>
      <c r="D169" s="42">
        <v>-2826672.19</v>
      </c>
      <c r="E169" s="42">
        <v>2038927.81</v>
      </c>
      <c r="F169" s="43">
        <v>432947.5</v>
      </c>
      <c r="G169" s="42">
        <v>432947.5</v>
      </c>
      <c r="H169" s="42">
        <v>1605980.31</v>
      </c>
    </row>
    <row r="170" spans="1:8">
      <c r="A170" s="49" t="s">
        <v>312</v>
      </c>
      <c r="B170" s="49" t="s">
        <v>313</v>
      </c>
      <c r="C170" s="42">
        <v>744000</v>
      </c>
      <c r="D170" s="42">
        <v>-333169.27</v>
      </c>
      <c r="E170" s="42">
        <v>410830.73</v>
      </c>
      <c r="F170" s="43">
        <v>381297.59</v>
      </c>
      <c r="G170" s="42">
        <v>381297.59</v>
      </c>
      <c r="H170" s="42">
        <v>29533.14</v>
      </c>
    </row>
    <row r="171" spans="1:8">
      <c r="A171" s="49" t="s">
        <v>314</v>
      </c>
      <c r="B171" s="49" t="s">
        <v>315</v>
      </c>
      <c r="C171" s="42">
        <v>12000</v>
      </c>
      <c r="D171" s="42">
        <v>-315.89</v>
      </c>
      <c r="E171" s="42">
        <v>11684.11</v>
      </c>
      <c r="F171" s="43">
        <v>7561.38</v>
      </c>
      <c r="G171" s="42">
        <v>7561.38</v>
      </c>
      <c r="H171" s="42">
        <v>4122.7299999999996</v>
      </c>
    </row>
    <row r="172" spans="1:8">
      <c r="A172" s="49" t="s">
        <v>316</v>
      </c>
      <c r="B172" s="49" t="s">
        <v>317</v>
      </c>
      <c r="C172" s="42">
        <v>2600000</v>
      </c>
      <c r="D172" s="42">
        <v>-2111702.38</v>
      </c>
      <c r="E172" s="42">
        <v>488297.62</v>
      </c>
      <c r="F172" s="43">
        <v>0</v>
      </c>
      <c r="G172" s="42">
        <v>0</v>
      </c>
      <c r="H172" s="42">
        <v>488297.62</v>
      </c>
    </row>
    <row r="173" spans="1:8">
      <c r="A173" s="49" t="s">
        <v>318</v>
      </c>
      <c r="B173" s="49" t="s">
        <v>319</v>
      </c>
      <c r="C173" s="42">
        <v>1500000</v>
      </c>
      <c r="D173" s="42">
        <v>-386736.8</v>
      </c>
      <c r="E173" s="42">
        <v>1113263.2</v>
      </c>
      <c r="F173" s="43">
        <v>37160.97</v>
      </c>
      <c r="G173" s="42">
        <v>37160.97</v>
      </c>
      <c r="H173" s="42">
        <v>1076102.23</v>
      </c>
    </row>
    <row r="174" spans="1:8">
      <c r="A174" s="49" t="s">
        <v>320</v>
      </c>
      <c r="B174" s="49" t="s">
        <v>321</v>
      </c>
      <c r="C174" s="42">
        <v>9600</v>
      </c>
      <c r="D174" s="42">
        <v>5252.15</v>
      </c>
      <c r="E174" s="42">
        <v>14852.15</v>
      </c>
      <c r="F174" s="43">
        <v>6927.56</v>
      </c>
      <c r="G174" s="42">
        <v>6927.56</v>
      </c>
      <c r="H174" s="42">
        <v>7924.59</v>
      </c>
    </row>
    <row r="175" spans="1:8">
      <c r="A175" s="49" t="s">
        <v>322</v>
      </c>
      <c r="B175" s="49" t="s">
        <v>323</v>
      </c>
      <c r="C175" s="42">
        <v>15807200</v>
      </c>
      <c r="D175" s="42">
        <v>7395329.2999999998</v>
      </c>
      <c r="E175" s="42">
        <v>23202529.300000001</v>
      </c>
      <c r="F175" s="43">
        <v>12648152.09</v>
      </c>
      <c r="G175" s="42">
        <v>10242978.76</v>
      </c>
      <c r="H175" s="42">
        <v>10554377.210000001</v>
      </c>
    </row>
    <row r="176" spans="1:8">
      <c r="A176" s="49" t="s">
        <v>324</v>
      </c>
      <c r="B176" s="49" t="s">
        <v>325</v>
      </c>
      <c r="C176" s="42">
        <v>2500000</v>
      </c>
      <c r="D176" s="42">
        <v>-533074.82999999996</v>
      </c>
      <c r="E176" s="42">
        <v>1966925.17</v>
      </c>
      <c r="F176" s="43">
        <v>1582549.96</v>
      </c>
      <c r="G176" s="42">
        <v>1441361.87</v>
      </c>
      <c r="H176" s="42">
        <v>384375.21</v>
      </c>
    </row>
    <row r="177" spans="1:8">
      <c r="A177" s="49" t="s">
        <v>620</v>
      </c>
      <c r="B177" s="49" t="s">
        <v>621</v>
      </c>
      <c r="C177" s="42">
        <v>0</v>
      </c>
      <c r="D177" s="42">
        <v>158</v>
      </c>
      <c r="E177" s="42">
        <v>158</v>
      </c>
      <c r="F177" s="43">
        <v>158</v>
      </c>
      <c r="G177" s="42">
        <v>158</v>
      </c>
      <c r="H177" s="42">
        <v>0</v>
      </c>
    </row>
    <row r="178" spans="1:8">
      <c r="A178" s="49" t="s">
        <v>326</v>
      </c>
      <c r="B178" s="49" t="s">
        <v>327</v>
      </c>
      <c r="C178" s="42">
        <v>13000000</v>
      </c>
      <c r="D178" s="42">
        <v>6612838</v>
      </c>
      <c r="E178" s="42">
        <v>19612838</v>
      </c>
      <c r="F178" s="43">
        <v>9749572</v>
      </c>
      <c r="G178" s="42">
        <v>7485586.7599999998</v>
      </c>
      <c r="H178" s="42">
        <v>9863266</v>
      </c>
    </row>
    <row r="179" spans="1:8">
      <c r="A179" s="49" t="s">
        <v>328</v>
      </c>
      <c r="B179" s="49" t="s">
        <v>329</v>
      </c>
      <c r="C179" s="42">
        <v>7200</v>
      </c>
      <c r="D179" s="42">
        <v>1313934.51</v>
      </c>
      <c r="E179" s="42">
        <v>1321134.51</v>
      </c>
      <c r="F179" s="43">
        <v>1314398.51</v>
      </c>
      <c r="G179" s="42">
        <v>1314398.51</v>
      </c>
      <c r="H179" s="42">
        <v>6736</v>
      </c>
    </row>
    <row r="180" spans="1:8">
      <c r="A180" s="49" t="s">
        <v>330</v>
      </c>
      <c r="B180" s="49" t="s">
        <v>331</v>
      </c>
      <c r="C180" s="42">
        <v>300000</v>
      </c>
      <c r="D180" s="42">
        <v>1473.62</v>
      </c>
      <c r="E180" s="42">
        <v>301473.62</v>
      </c>
      <c r="F180" s="43">
        <v>1473.62</v>
      </c>
      <c r="G180" s="42">
        <v>1473.62</v>
      </c>
      <c r="H180" s="42">
        <v>300000</v>
      </c>
    </row>
    <row r="181" spans="1:8">
      <c r="A181" s="49" t="s">
        <v>666</v>
      </c>
      <c r="B181" s="49" t="s">
        <v>667</v>
      </c>
      <c r="C181" s="42">
        <v>50000</v>
      </c>
      <c r="D181" s="42">
        <v>-15.89</v>
      </c>
      <c r="E181" s="42">
        <v>49984.11</v>
      </c>
      <c r="F181" s="43">
        <v>600</v>
      </c>
      <c r="G181" s="42">
        <v>600</v>
      </c>
      <c r="H181" s="42">
        <v>49384.11</v>
      </c>
    </row>
    <row r="182" spans="1:8">
      <c r="A182" s="49" t="s">
        <v>622</v>
      </c>
      <c r="B182" s="49" t="s">
        <v>602</v>
      </c>
      <c r="C182" s="42">
        <v>50000</v>
      </c>
      <c r="D182" s="42">
        <v>-15.89</v>
      </c>
      <c r="E182" s="42">
        <v>49984.11</v>
      </c>
      <c r="F182" s="43">
        <v>600</v>
      </c>
      <c r="G182" s="42">
        <v>600</v>
      </c>
      <c r="H182" s="42">
        <v>49384.11</v>
      </c>
    </row>
    <row r="183" spans="1:8">
      <c r="A183" s="49" t="s">
        <v>332</v>
      </c>
      <c r="B183" s="49" t="s">
        <v>333</v>
      </c>
      <c r="C183" s="42">
        <v>7000000</v>
      </c>
      <c r="D183" s="42">
        <v>3257207.6</v>
      </c>
      <c r="E183" s="42">
        <v>10257207.6</v>
      </c>
      <c r="F183" s="43">
        <v>10256197.52</v>
      </c>
      <c r="G183" s="42">
        <v>10256197.52</v>
      </c>
      <c r="H183" s="42">
        <v>1010.08</v>
      </c>
    </row>
    <row r="184" spans="1:8">
      <c r="A184" s="49" t="s">
        <v>334</v>
      </c>
      <c r="B184" s="49" t="s">
        <v>335</v>
      </c>
      <c r="C184" s="42">
        <v>7000000</v>
      </c>
      <c r="D184" s="42">
        <v>3257207.6</v>
      </c>
      <c r="E184" s="42">
        <v>10257207.6</v>
      </c>
      <c r="F184" s="43">
        <v>10256197.52</v>
      </c>
      <c r="G184" s="42">
        <v>10256197.52</v>
      </c>
      <c r="H184" s="42">
        <v>1010.08</v>
      </c>
    </row>
    <row r="185" spans="1:8">
      <c r="A185" s="49" t="s">
        <v>336</v>
      </c>
      <c r="B185" s="49" t="s">
        <v>337</v>
      </c>
      <c r="C185" s="42">
        <v>17296000</v>
      </c>
      <c r="D185" s="42">
        <v>10562792.460000001</v>
      </c>
      <c r="E185" s="42">
        <v>27858792.460000001</v>
      </c>
      <c r="F185" s="43">
        <v>16130167.25</v>
      </c>
      <c r="G185" s="42">
        <v>12418457.76</v>
      </c>
      <c r="H185" s="42">
        <v>11728625.210000001</v>
      </c>
    </row>
    <row r="186" spans="1:8">
      <c r="A186" s="49" t="s">
        <v>338</v>
      </c>
      <c r="B186" s="49" t="s">
        <v>339</v>
      </c>
      <c r="C186" s="42">
        <v>550000</v>
      </c>
      <c r="D186" s="42">
        <v>348899.74</v>
      </c>
      <c r="E186" s="42">
        <v>898899.74</v>
      </c>
      <c r="F186" s="43">
        <v>540216.11</v>
      </c>
      <c r="G186" s="42">
        <v>381545.05</v>
      </c>
      <c r="H186" s="42">
        <v>358683.63</v>
      </c>
    </row>
    <row r="187" spans="1:8">
      <c r="A187" s="49" t="s">
        <v>340</v>
      </c>
      <c r="B187" s="49" t="s">
        <v>341</v>
      </c>
      <c r="C187" s="42">
        <v>50000</v>
      </c>
      <c r="D187" s="42">
        <v>18551.419999999998</v>
      </c>
      <c r="E187" s="42">
        <v>68551.42</v>
      </c>
      <c r="F187" s="43">
        <v>64771.42</v>
      </c>
      <c r="G187" s="42">
        <v>64771.42</v>
      </c>
      <c r="H187" s="42">
        <v>3780</v>
      </c>
    </row>
    <row r="188" spans="1:8">
      <c r="A188" s="49" t="s">
        <v>342</v>
      </c>
      <c r="B188" s="49" t="s">
        <v>343</v>
      </c>
      <c r="C188" s="42">
        <v>500000</v>
      </c>
      <c r="D188" s="42">
        <v>195348.32</v>
      </c>
      <c r="E188" s="42">
        <v>695348.32</v>
      </c>
      <c r="F188" s="43">
        <v>340444.69</v>
      </c>
      <c r="G188" s="42">
        <v>181773.63</v>
      </c>
      <c r="H188" s="42">
        <v>354903.63</v>
      </c>
    </row>
    <row r="189" spans="1:8">
      <c r="A189" s="49" t="s">
        <v>623</v>
      </c>
      <c r="B189" s="49" t="s">
        <v>624</v>
      </c>
      <c r="C189" s="42">
        <v>0</v>
      </c>
      <c r="D189" s="42">
        <v>135000</v>
      </c>
      <c r="E189" s="42">
        <v>135000</v>
      </c>
      <c r="F189" s="43">
        <v>135000</v>
      </c>
      <c r="G189" s="42">
        <v>135000</v>
      </c>
      <c r="H189" s="42">
        <v>0</v>
      </c>
    </row>
    <row r="190" spans="1:8">
      <c r="A190" s="49" t="s">
        <v>344</v>
      </c>
      <c r="B190" s="49" t="s">
        <v>345</v>
      </c>
      <c r="C190" s="42">
        <v>80000</v>
      </c>
      <c r="D190" s="42">
        <v>4444.8100000000004</v>
      </c>
      <c r="E190" s="42">
        <v>84444.81</v>
      </c>
      <c r="F190" s="43">
        <v>30038.15</v>
      </c>
      <c r="G190" s="42">
        <v>22588.15</v>
      </c>
      <c r="H190" s="42">
        <v>54406.66</v>
      </c>
    </row>
    <row r="191" spans="1:8">
      <c r="A191" s="49" t="s">
        <v>346</v>
      </c>
      <c r="B191" s="49" t="s">
        <v>347</v>
      </c>
      <c r="C191" s="42">
        <v>80000</v>
      </c>
      <c r="D191" s="42">
        <v>4444.8100000000004</v>
      </c>
      <c r="E191" s="42">
        <v>84444.81</v>
      </c>
      <c r="F191" s="43">
        <v>30038.15</v>
      </c>
      <c r="G191" s="42">
        <v>22588.15</v>
      </c>
      <c r="H191" s="42">
        <v>54406.66</v>
      </c>
    </row>
    <row r="192" spans="1:8">
      <c r="A192" s="49" t="s">
        <v>348</v>
      </c>
      <c r="B192" s="49" t="s">
        <v>349</v>
      </c>
      <c r="C192" s="42">
        <v>325000</v>
      </c>
      <c r="D192" s="42">
        <v>-46809.93</v>
      </c>
      <c r="E192" s="42">
        <v>278190.07</v>
      </c>
      <c r="F192" s="43">
        <v>0</v>
      </c>
      <c r="G192" s="42">
        <v>0</v>
      </c>
      <c r="H192" s="42">
        <v>278190.07</v>
      </c>
    </row>
    <row r="193" spans="1:8">
      <c r="A193" s="49" t="s">
        <v>350</v>
      </c>
      <c r="B193" s="49" t="s">
        <v>351</v>
      </c>
      <c r="C193" s="42">
        <v>10000</v>
      </c>
      <c r="D193" s="42">
        <v>-2437.7199999999998</v>
      </c>
      <c r="E193" s="42">
        <v>7562.28</v>
      </c>
      <c r="F193" s="43">
        <v>0</v>
      </c>
      <c r="G193" s="42">
        <v>0</v>
      </c>
      <c r="H193" s="42">
        <v>7562.28</v>
      </c>
    </row>
    <row r="194" spans="1:8">
      <c r="A194" s="49" t="s">
        <v>352</v>
      </c>
      <c r="B194" s="49" t="s">
        <v>353</v>
      </c>
      <c r="C194" s="42">
        <v>280000</v>
      </c>
      <c r="D194" s="42">
        <v>-21038.89</v>
      </c>
      <c r="E194" s="42">
        <v>258961.11</v>
      </c>
      <c r="F194" s="43">
        <v>0</v>
      </c>
      <c r="G194" s="42">
        <v>0</v>
      </c>
      <c r="H194" s="42">
        <v>258961.11</v>
      </c>
    </row>
    <row r="195" spans="1:8">
      <c r="A195" s="49" t="s">
        <v>354</v>
      </c>
      <c r="B195" s="49" t="s">
        <v>355</v>
      </c>
      <c r="C195" s="42">
        <v>35000</v>
      </c>
      <c r="D195" s="42">
        <v>-23333.32</v>
      </c>
      <c r="E195" s="42">
        <v>11666.68</v>
      </c>
      <c r="F195" s="43">
        <v>0</v>
      </c>
      <c r="G195" s="42">
        <v>0</v>
      </c>
      <c r="H195" s="42">
        <v>11666.68</v>
      </c>
    </row>
    <row r="196" spans="1:8">
      <c r="A196" s="49" t="s">
        <v>356</v>
      </c>
      <c r="B196" s="49" t="s">
        <v>357</v>
      </c>
      <c r="C196" s="42">
        <v>3200000</v>
      </c>
      <c r="D196" s="42">
        <v>-290973.19</v>
      </c>
      <c r="E196" s="42">
        <v>2909026.81</v>
      </c>
      <c r="F196" s="43">
        <v>2112218.86</v>
      </c>
      <c r="G196" s="42">
        <v>1510981.31</v>
      </c>
      <c r="H196" s="42">
        <v>796807.95</v>
      </c>
    </row>
    <row r="197" spans="1:8">
      <c r="A197" s="49" t="s">
        <v>358</v>
      </c>
      <c r="B197" s="49" t="s">
        <v>359</v>
      </c>
      <c r="C197" s="42">
        <v>3200000</v>
      </c>
      <c r="D197" s="42">
        <v>-290973.19</v>
      </c>
      <c r="E197" s="42">
        <v>2909026.81</v>
      </c>
      <c r="F197" s="43">
        <v>2112218.86</v>
      </c>
      <c r="G197" s="42">
        <v>1510981.31</v>
      </c>
      <c r="H197" s="42">
        <v>796807.95</v>
      </c>
    </row>
    <row r="198" spans="1:8">
      <c r="A198" s="49" t="s">
        <v>360</v>
      </c>
      <c r="B198" s="49" t="s">
        <v>361</v>
      </c>
      <c r="C198" s="42">
        <v>12000000</v>
      </c>
      <c r="D198" s="42">
        <v>4553475.1900000004</v>
      </c>
      <c r="E198" s="42">
        <v>16553475.189999999</v>
      </c>
      <c r="F198" s="43">
        <v>9365166.25</v>
      </c>
      <c r="G198" s="42">
        <v>7875327.2999999998</v>
      </c>
      <c r="H198" s="42">
        <v>7188308.9400000004</v>
      </c>
    </row>
    <row r="199" spans="1:8">
      <c r="A199" s="49" t="s">
        <v>362</v>
      </c>
      <c r="B199" s="49" t="s">
        <v>363</v>
      </c>
      <c r="C199" s="42">
        <v>12000000</v>
      </c>
      <c r="D199" s="42">
        <v>4553475.1900000004</v>
      </c>
      <c r="E199" s="42">
        <v>16553475.189999999</v>
      </c>
      <c r="F199" s="43">
        <v>9365166.25</v>
      </c>
      <c r="G199" s="42">
        <v>7875327.2999999998</v>
      </c>
      <c r="H199" s="42">
        <v>7188308.9400000004</v>
      </c>
    </row>
    <row r="200" spans="1:8">
      <c r="A200" s="49" t="s">
        <v>364</v>
      </c>
      <c r="B200" s="49" t="s">
        <v>365</v>
      </c>
      <c r="C200" s="42">
        <v>1130000</v>
      </c>
      <c r="D200" s="42">
        <v>5987893.7400000002</v>
      </c>
      <c r="E200" s="42">
        <v>7117893.7400000002</v>
      </c>
      <c r="F200" s="43">
        <v>4080010.63</v>
      </c>
      <c r="G200" s="42">
        <v>2626515.9500000002</v>
      </c>
      <c r="H200" s="42">
        <v>3037883.11</v>
      </c>
    </row>
    <row r="201" spans="1:8">
      <c r="A201" s="49" t="s">
        <v>366</v>
      </c>
      <c r="B201" s="49" t="s">
        <v>367</v>
      </c>
      <c r="C201" s="42">
        <v>650000</v>
      </c>
      <c r="D201" s="42">
        <v>205901.79</v>
      </c>
      <c r="E201" s="42">
        <v>855901.79</v>
      </c>
      <c r="F201" s="43">
        <v>671085.03</v>
      </c>
      <c r="G201" s="42">
        <v>459771.03</v>
      </c>
      <c r="H201" s="42">
        <v>184816.76</v>
      </c>
    </row>
    <row r="202" spans="1:8">
      <c r="A202" s="49" t="s">
        <v>368</v>
      </c>
      <c r="B202" s="49" t="s">
        <v>369</v>
      </c>
      <c r="C202" s="42">
        <v>480000</v>
      </c>
      <c r="D202" s="42">
        <v>1641816.25</v>
      </c>
      <c r="E202" s="42">
        <v>2121816.25</v>
      </c>
      <c r="F202" s="43">
        <v>1800000</v>
      </c>
      <c r="G202" s="42">
        <v>1800000</v>
      </c>
      <c r="H202" s="42">
        <v>321816.25</v>
      </c>
    </row>
    <row r="203" spans="1:8">
      <c r="A203" s="49" t="s">
        <v>625</v>
      </c>
      <c r="B203" s="49" t="s">
        <v>626</v>
      </c>
      <c r="C203" s="42">
        <v>0</v>
      </c>
      <c r="D203" s="42">
        <v>2058925.7</v>
      </c>
      <c r="E203" s="42">
        <v>2058925.7</v>
      </c>
      <c r="F203" s="43">
        <v>1608925.6</v>
      </c>
      <c r="G203" s="42">
        <v>366744.92</v>
      </c>
      <c r="H203" s="42">
        <v>450000.1</v>
      </c>
    </row>
    <row r="204" spans="1:8">
      <c r="A204" s="49" t="s">
        <v>628</v>
      </c>
      <c r="B204" s="49" t="s">
        <v>627</v>
      </c>
      <c r="C204" s="42">
        <v>0</v>
      </c>
      <c r="D204" s="42">
        <v>2081250</v>
      </c>
      <c r="E204" s="42">
        <v>2081250</v>
      </c>
      <c r="F204" s="43">
        <v>0</v>
      </c>
      <c r="G204" s="42">
        <v>0</v>
      </c>
      <c r="H204" s="42">
        <v>2081250</v>
      </c>
    </row>
    <row r="205" spans="1:8">
      <c r="A205" s="49" t="s">
        <v>370</v>
      </c>
      <c r="B205" s="49" t="s">
        <v>371</v>
      </c>
      <c r="C205" s="42">
        <v>11000</v>
      </c>
      <c r="D205" s="42">
        <v>5862.1</v>
      </c>
      <c r="E205" s="42">
        <v>16862.099999999999</v>
      </c>
      <c r="F205" s="43">
        <v>2517.25</v>
      </c>
      <c r="G205" s="42">
        <v>1500</v>
      </c>
      <c r="H205" s="42">
        <v>14344.85</v>
      </c>
    </row>
    <row r="206" spans="1:8">
      <c r="A206" s="49" t="s">
        <v>372</v>
      </c>
      <c r="B206" s="49" t="s">
        <v>373</v>
      </c>
      <c r="C206" s="42">
        <v>2117500</v>
      </c>
      <c r="D206" s="42">
        <v>1241260.1000000001</v>
      </c>
      <c r="E206" s="42">
        <v>3358760.1</v>
      </c>
      <c r="F206" s="43">
        <v>3131560.19</v>
      </c>
      <c r="G206" s="42">
        <v>2939342.38</v>
      </c>
      <c r="H206" s="42">
        <v>227199.91</v>
      </c>
    </row>
    <row r="207" spans="1:8">
      <c r="A207" s="49" t="s">
        <v>374</v>
      </c>
      <c r="B207" s="49" t="s">
        <v>375</v>
      </c>
      <c r="C207" s="42">
        <v>100000</v>
      </c>
      <c r="D207" s="42">
        <v>142339.18</v>
      </c>
      <c r="E207" s="42">
        <v>242339.18</v>
      </c>
      <c r="F207" s="43">
        <v>177739.18</v>
      </c>
      <c r="G207" s="42">
        <v>69436.38</v>
      </c>
      <c r="H207" s="42">
        <v>64600</v>
      </c>
    </row>
    <row r="208" spans="1:8">
      <c r="A208" s="49" t="s">
        <v>376</v>
      </c>
      <c r="B208" s="49" t="s">
        <v>377</v>
      </c>
      <c r="C208" s="42">
        <v>205000</v>
      </c>
      <c r="D208" s="42">
        <v>17289.2</v>
      </c>
      <c r="E208" s="42">
        <v>222289.2</v>
      </c>
      <c r="F208" s="43">
        <v>207414.46</v>
      </c>
      <c r="G208" s="42">
        <v>144696</v>
      </c>
      <c r="H208" s="42">
        <v>14874.74</v>
      </c>
    </row>
    <row r="209" spans="1:8">
      <c r="A209" s="49" t="s">
        <v>378</v>
      </c>
      <c r="B209" s="49" t="s">
        <v>379</v>
      </c>
      <c r="C209" s="42">
        <v>1650000</v>
      </c>
      <c r="D209" s="42">
        <v>1193330.2</v>
      </c>
      <c r="E209" s="42">
        <v>2843330.2</v>
      </c>
      <c r="F209" s="43">
        <v>2746406.55</v>
      </c>
      <c r="G209" s="42">
        <v>2725210</v>
      </c>
      <c r="H209" s="42">
        <v>96923.65</v>
      </c>
    </row>
    <row r="210" spans="1:8">
      <c r="A210" s="49" t="s">
        <v>380</v>
      </c>
      <c r="B210" s="49" t="s">
        <v>381</v>
      </c>
      <c r="C210" s="42">
        <v>200000</v>
      </c>
      <c r="D210" s="42">
        <v>-189614.59</v>
      </c>
      <c r="E210" s="42">
        <v>10385.41</v>
      </c>
      <c r="F210" s="43">
        <v>0</v>
      </c>
      <c r="G210" s="42">
        <v>0</v>
      </c>
      <c r="H210" s="42">
        <v>10385.41</v>
      </c>
    </row>
    <row r="211" spans="1:8">
      <c r="A211" s="49" t="s">
        <v>382</v>
      </c>
      <c r="B211" s="49" t="s">
        <v>383</v>
      </c>
      <c r="C211" s="42">
        <v>100000</v>
      </c>
      <c r="D211" s="42">
        <v>-98030.41</v>
      </c>
      <c r="E211" s="42">
        <v>1969.59</v>
      </c>
      <c r="F211" s="43">
        <v>0</v>
      </c>
      <c r="G211" s="42">
        <v>0</v>
      </c>
      <c r="H211" s="42">
        <v>1969.59</v>
      </c>
    </row>
    <row r="212" spans="1:8">
      <c r="A212" s="49" t="s">
        <v>384</v>
      </c>
      <c r="B212" s="49" t="s">
        <v>385</v>
      </c>
      <c r="C212" s="42">
        <v>200000</v>
      </c>
      <c r="D212" s="42">
        <v>-133333.32</v>
      </c>
      <c r="E212" s="42">
        <v>66666.679999999993</v>
      </c>
      <c r="F212" s="43">
        <v>0</v>
      </c>
      <c r="G212" s="42">
        <v>0</v>
      </c>
      <c r="H212" s="42">
        <v>66666.679999999993</v>
      </c>
    </row>
    <row r="213" spans="1:8">
      <c r="A213" s="49" t="s">
        <v>386</v>
      </c>
      <c r="B213" s="49" t="s">
        <v>387</v>
      </c>
      <c r="C213" s="42">
        <v>350000</v>
      </c>
      <c r="D213" s="42">
        <v>-341598.03</v>
      </c>
      <c r="E213" s="42">
        <v>8401.9699999999993</v>
      </c>
      <c r="F213" s="43">
        <v>0</v>
      </c>
      <c r="G213" s="42">
        <v>0</v>
      </c>
      <c r="H213" s="42">
        <v>8401.9699999999993</v>
      </c>
    </row>
    <row r="214" spans="1:8">
      <c r="A214" s="49" t="s">
        <v>388</v>
      </c>
      <c r="B214" s="49" t="s">
        <v>389</v>
      </c>
      <c r="C214" s="42">
        <v>0</v>
      </c>
      <c r="D214" s="42">
        <v>4300</v>
      </c>
      <c r="E214" s="42">
        <v>4300</v>
      </c>
      <c r="F214" s="43">
        <v>4300</v>
      </c>
      <c r="G214" s="42">
        <v>0</v>
      </c>
      <c r="H214" s="42">
        <v>0</v>
      </c>
    </row>
    <row r="215" spans="1:8">
      <c r="A215" s="49" t="s">
        <v>390</v>
      </c>
      <c r="B215" s="49" t="s">
        <v>391</v>
      </c>
      <c r="C215" s="42">
        <v>800000</v>
      </c>
      <c r="D215" s="42">
        <v>1951606.55</v>
      </c>
      <c r="E215" s="42">
        <v>2751606.55</v>
      </c>
      <c r="F215" s="43">
        <v>2742106.55</v>
      </c>
      <c r="G215" s="42">
        <v>2725210</v>
      </c>
      <c r="H215" s="42">
        <v>9500</v>
      </c>
    </row>
    <row r="216" spans="1:8">
      <c r="A216" s="49" t="s">
        <v>392</v>
      </c>
      <c r="B216" s="49" t="s">
        <v>393</v>
      </c>
      <c r="C216" s="42">
        <v>2300</v>
      </c>
      <c r="D216" s="42">
        <v>0</v>
      </c>
      <c r="E216" s="42">
        <v>2300</v>
      </c>
      <c r="F216" s="43">
        <v>0</v>
      </c>
      <c r="G216" s="42">
        <v>0</v>
      </c>
      <c r="H216" s="42">
        <v>2300</v>
      </c>
    </row>
    <row r="217" spans="1:8">
      <c r="A217" s="49" t="s">
        <v>394</v>
      </c>
      <c r="B217" s="49" t="s">
        <v>395</v>
      </c>
      <c r="C217" s="42">
        <v>84000</v>
      </c>
      <c r="D217" s="42">
        <v>-65457.39</v>
      </c>
      <c r="E217" s="42">
        <v>18542.61</v>
      </c>
      <c r="F217" s="43">
        <v>0</v>
      </c>
      <c r="G217" s="42">
        <v>0</v>
      </c>
      <c r="H217" s="42">
        <v>18542.61</v>
      </c>
    </row>
    <row r="218" spans="1:8">
      <c r="A218" s="49" t="s">
        <v>396</v>
      </c>
      <c r="B218" s="49" t="s">
        <v>397</v>
      </c>
      <c r="C218" s="42">
        <v>3200</v>
      </c>
      <c r="D218" s="42">
        <v>0</v>
      </c>
      <c r="E218" s="42">
        <v>3200</v>
      </c>
      <c r="F218" s="43">
        <v>0</v>
      </c>
      <c r="G218" s="42">
        <v>0</v>
      </c>
      <c r="H218" s="42">
        <v>3200</v>
      </c>
    </row>
    <row r="219" spans="1:8">
      <c r="A219" s="49" t="s">
        <v>398</v>
      </c>
      <c r="B219" s="49" t="s">
        <v>399</v>
      </c>
      <c r="C219" s="42">
        <v>73000</v>
      </c>
      <c r="D219" s="42">
        <v>-46241.09</v>
      </c>
      <c r="E219" s="42">
        <v>26758.91</v>
      </c>
      <c r="F219" s="43">
        <v>0</v>
      </c>
      <c r="G219" s="42">
        <v>0</v>
      </c>
      <c r="H219" s="42">
        <v>26758.91</v>
      </c>
    </row>
    <row r="220" spans="1:8">
      <c r="A220" s="49" t="s">
        <v>400</v>
      </c>
      <c r="B220" s="49" t="s">
        <v>401</v>
      </c>
      <c r="C220" s="42">
        <v>53000</v>
      </c>
      <c r="D220" s="42">
        <v>-32907.769999999997</v>
      </c>
      <c r="E220" s="42">
        <v>20092.23</v>
      </c>
      <c r="F220" s="43">
        <v>0</v>
      </c>
      <c r="G220" s="42">
        <v>0</v>
      </c>
      <c r="H220" s="42">
        <v>20092.23</v>
      </c>
    </row>
    <row r="221" spans="1:8">
      <c r="A221" s="49" t="s">
        <v>402</v>
      </c>
      <c r="B221" s="49" t="s">
        <v>399</v>
      </c>
      <c r="C221" s="42">
        <v>20000</v>
      </c>
      <c r="D221" s="42">
        <v>-13333.32</v>
      </c>
      <c r="E221" s="42">
        <v>6666.68</v>
      </c>
      <c r="F221" s="43">
        <v>0</v>
      </c>
      <c r="G221" s="42">
        <v>0</v>
      </c>
      <c r="H221" s="42">
        <v>6666.68</v>
      </c>
    </row>
    <row r="222" spans="1:8">
      <c r="A222" s="49" t="s">
        <v>403</v>
      </c>
      <c r="B222" s="49" t="s">
        <v>404</v>
      </c>
      <c r="C222" s="42">
        <v>203000</v>
      </c>
      <c r="D222" s="42">
        <v>248239.85</v>
      </c>
      <c r="E222" s="42">
        <v>451239.85</v>
      </c>
      <c r="F222" s="43">
        <v>362884.65</v>
      </c>
      <c r="G222" s="42">
        <v>362884.65</v>
      </c>
      <c r="H222" s="42">
        <v>88355.199999999997</v>
      </c>
    </row>
    <row r="223" spans="1:8">
      <c r="A223" s="49" t="s">
        <v>405</v>
      </c>
      <c r="B223" s="49" t="s">
        <v>406</v>
      </c>
      <c r="C223" s="42">
        <v>53000</v>
      </c>
      <c r="D223" s="42">
        <v>-11980.63</v>
      </c>
      <c r="E223" s="42">
        <v>41019.370000000003</v>
      </c>
      <c r="F223" s="43">
        <v>12216.38</v>
      </c>
      <c r="G223" s="42">
        <v>12216.38</v>
      </c>
      <c r="H223" s="42">
        <v>28802.99</v>
      </c>
    </row>
    <row r="224" spans="1:8">
      <c r="A224" s="49" t="s">
        <v>407</v>
      </c>
      <c r="B224" s="49" t="s">
        <v>408</v>
      </c>
      <c r="C224" s="42">
        <v>50000</v>
      </c>
      <c r="D224" s="42">
        <v>-12264.84</v>
      </c>
      <c r="E224" s="42">
        <v>37735.160000000003</v>
      </c>
      <c r="F224" s="43">
        <v>11335.77</v>
      </c>
      <c r="G224" s="42">
        <v>11335.77</v>
      </c>
      <c r="H224" s="42">
        <v>26399.39</v>
      </c>
    </row>
    <row r="225" spans="1:8">
      <c r="A225" s="49" t="s">
        <v>409</v>
      </c>
      <c r="B225" s="49" t="s">
        <v>410</v>
      </c>
      <c r="C225" s="42">
        <v>100000</v>
      </c>
      <c r="D225" s="42">
        <v>271023.32</v>
      </c>
      <c r="E225" s="42">
        <v>371023.32</v>
      </c>
      <c r="F225" s="43">
        <v>338620.5</v>
      </c>
      <c r="G225" s="42">
        <v>338620.5</v>
      </c>
      <c r="H225" s="42">
        <v>32402.82</v>
      </c>
    </row>
    <row r="226" spans="1:8">
      <c r="A226" s="49" t="s">
        <v>411</v>
      </c>
      <c r="B226" s="49" t="s">
        <v>412</v>
      </c>
      <c r="C226" s="42">
        <v>100000</v>
      </c>
      <c r="D226" s="42">
        <v>271023.32</v>
      </c>
      <c r="E226" s="42">
        <v>371023.32</v>
      </c>
      <c r="F226" s="43">
        <v>338620.5</v>
      </c>
      <c r="G226" s="42">
        <v>338620.5</v>
      </c>
      <c r="H226" s="42">
        <v>32402.82</v>
      </c>
    </row>
    <row r="227" spans="1:8">
      <c r="A227" s="49" t="s">
        <v>413</v>
      </c>
      <c r="B227" s="49" t="s">
        <v>414</v>
      </c>
      <c r="C227" s="42">
        <v>0</v>
      </c>
      <c r="D227" s="42">
        <v>1462</v>
      </c>
      <c r="E227" s="42">
        <v>1462</v>
      </c>
      <c r="F227" s="43">
        <v>712</v>
      </c>
      <c r="G227" s="42">
        <v>712</v>
      </c>
      <c r="H227" s="42">
        <v>750</v>
      </c>
    </row>
    <row r="228" spans="1:8">
      <c r="A228" s="49" t="s">
        <v>415</v>
      </c>
      <c r="B228" s="49" t="s">
        <v>416</v>
      </c>
      <c r="C228" s="42">
        <v>0</v>
      </c>
      <c r="D228" s="42">
        <v>1462</v>
      </c>
      <c r="E228" s="42">
        <v>1462</v>
      </c>
      <c r="F228" s="43">
        <v>712</v>
      </c>
      <c r="G228" s="42">
        <v>712</v>
      </c>
      <c r="H228" s="42">
        <v>750</v>
      </c>
    </row>
    <row r="229" spans="1:8">
      <c r="A229" s="49" t="s">
        <v>417</v>
      </c>
      <c r="B229" s="49" t="s">
        <v>418</v>
      </c>
      <c r="C229" s="42">
        <v>250000</v>
      </c>
      <c r="D229" s="42">
        <v>-71641.73</v>
      </c>
      <c r="E229" s="42">
        <v>178358.27</v>
      </c>
      <c r="F229" s="43">
        <v>56369</v>
      </c>
      <c r="G229" s="42">
        <v>56369</v>
      </c>
      <c r="H229" s="42">
        <v>121989.27</v>
      </c>
    </row>
    <row r="230" spans="1:8">
      <c r="A230" s="49" t="s">
        <v>419</v>
      </c>
      <c r="B230" s="49" t="s">
        <v>420</v>
      </c>
      <c r="C230" s="42">
        <v>90000</v>
      </c>
      <c r="D230" s="42">
        <v>-48961.98</v>
      </c>
      <c r="E230" s="42">
        <v>41038.019999999997</v>
      </c>
      <c r="F230" s="43">
        <v>0</v>
      </c>
      <c r="G230" s="42">
        <v>0</v>
      </c>
      <c r="H230" s="42">
        <v>41038.019999999997</v>
      </c>
    </row>
    <row r="231" spans="1:8">
      <c r="A231" s="49" t="s">
        <v>421</v>
      </c>
      <c r="B231" s="49" t="s">
        <v>422</v>
      </c>
      <c r="C231" s="42">
        <v>50000</v>
      </c>
      <c r="D231" s="42">
        <v>-48961.98</v>
      </c>
      <c r="E231" s="42">
        <v>1038.02</v>
      </c>
      <c r="F231" s="43">
        <v>0</v>
      </c>
      <c r="G231" s="42">
        <v>0</v>
      </c>
      <c r="H231" s="42">
        <v>1038.02</v>
      </c>
    </row>
    <row r="232" spans="1:8">
      <c r="A232" s="49" t="s">
        <v>423</v>
      </c>
      <c r="B232" s="49" t="s">
        <v>424</v>
      </c>
      <c r="C232" s="42">
        <v>40000</v>
      </c>
      <c r="D232" s="42">
        <v>0</v>
      </c>
      <c r="E232" s="42">
        <v>40000</v>
      </c>
      <c r="F232" s="43">
        <v>0</v>
      </c>
      <c r="G232" s="42">
        <v>0</v>
      </c>
      <c r="H232" s="42">
        <v>40000</v>
      </c>
    </row>
    <row r="233" spans="1:8">
      <c r="A233" s="49" t="s">
        <v>425</v>
      </c>
      <c r="B233" s="49" t="s">
        <v>426</v>
      </c>
      <c r="C233" s="42">
        <v>90000</v>
      </c>
      <c r="D233" s="42">
        <v>-25750.6</v>
      </c>
      <c r="E233" s="42">
        <v>64249.4</v>
      </c>
      <c r="F233" s="43">
        <v>15000</v>
      </c>
      <c r="G233" s="42">
        <v>15000</v>
      </c>
      <c r="H233" s="42">
        <v>49249.4</v>
      </c>
    </row>
    <row r="234" spans="1:8">
      <c r="A234" s="49" t="s">
        <v>427</v>
      </c>
      <c r="B234" s="49" t="s">
        <v>428</v>
      </c>
      <c r="C234" s="42">
        <v>70000</v>
      </c>
      <c r="D234" s="42">
        <v>3070.85</v>
      </c>
      <c r="E234" s="42">
        <v>73070.850000000006</v>
      </c>
      <c r="F234" s="43">
        <v>41369</v>
      </c>
      <c r="G234" s="42">
        <v>41369</v>
      </c>
      <c r="H234" s="42">
        <v>31701.85</v>
      </c>
    </row>
    <row r="235" spans="1:8">
      <c r="A235" s="49" t="s">
        <v>429</v>
      </c>
      <c r="B235" s="49" t="s">
        <v>430</v>
      </c>
      <c r="C235" s="42">
        <v>70000</v>
      </c>
      <c r="D235" s="42">
        <v>3070.85</v>
      </c>
      <c r="E235" s="42">
        <v>73070.850000000006</v>
      </c>
      <c r="F235" s="43">
        <v>41369</v>
      </c>
      <c r="G235" s="42">
        <v>41369</v>
      </c>
      <c r="H235" s="42">
        <v>31701.85</v>
      </c>
    </row>
    <row r="236" spans="1:8">
      <c r="A236" s="49" t="s">
        <v>431</v>
      </c>
      <c r="B236" s="49" t="s">
        <v>432</v>
      </c>
      <c r="C236" s="42">
        <v>413711500</v>
      </c>
      <c r="D236" s="42">
        <v>2598535.4700000002</v>
      </c>
      <c r="E236" s="42">
        <v>416310035.47000003</v>
      </c>
      <c r="F236" s="43">
        <v>179314774.38</v>
      </c>
      <c r="G236" s="42">
        <v>113427364.18000001</v>
      </c>
      <c r="H236" s="42">
        <v>236995261.09</v>
      </c>
    </row>
    <row r="237" spans="1:8">
      <c r="A237" s="49" t="s">
        <v>433</v>
      </c>
      <c r="B237" s="49" t="s">
        <v>434</v>
      </c>
      <c r="C237" s="42">
        <v>93000</v>
      </c>
      <c r="D237" s="42">
        <v>21650</v>
      </c>
      <c r="E237" s="42">
        <v>114650</v>
      </c>
      <c r="F237" s="43">
        <v>60250</v>
      </c>
      <c r="G237" s="42">
        <v>40950</v>
      </c>
      <c r="H237" s="42">
        <v>54400</v>
      </c>
    </row>
    <row r="238" spans="1:8">
      <c r="A238" s="49" t="s">
        <v>435</v>
      </c>
      <c r="B238" s="49" t="s">
        <v>434</v>
      </c>
      <c r="C238" s="42">
        <v>93000</v>
      </c>
      <c r="D238" s="42">
        <v>21650</v>
      </c>
      <c r="E238" s="42">
        <v>114650</v>
      </c>
      <c r="F238" s="43">
        <v>60250</v>
      </c>
      <c r="G238" s="42">
        <v>40950</v>
      </c>
      <c r="H238" s="42">
        <v>54400</v>
      </c>
    </row>
    <row r="239" spans="1:8">
      <c r="A239" s="49" t="s">
        <v>436</v>
      </c>
      <c r="B239" s="49" t="s">
        <v>437</v>
      </c>
      <c r="C239" s="42">
        <v>70453500</v>
      </c>
      <c r="D239" s="42">
        <v>-13162.9</v>
      </c>
      <c r="E239" s="42">
        <v>70440337.099999994</v>
      </c>
      <c r="F239" s="43">
        <v>43901486.210000001</v>
      </c>
      <c r="G239" s="42">
        <v>16491170.6</v>
      </c>
      <c r="H239" s="42">
        <v>26538850.890000001</v>
      </c>
    </row>
    <row r="240" spans="1:8">
      <c r="A240" s="49" t="s">
        <v>438</v>
      </c>
      <c r="B240" s="49" t="s">
        <v>437</v>
      </c>
      <c r="C240" s="42">
        <v>70093500</v>
      </c>
      <c r="D240" s="42">
        <v>-3229.33</v>
      </c>
      <c r="E240" s="42">
        <v>70090270.670000002</v>
      </c>
      <c r="F240" s="43">
        <v>43652267.210000001</v>
      </c>
      <c r="G240" s="42">
        <v>16242182.6</v>
      </c>
      <c r="H240" s="42">
        <v>26438003.460000001</v>
      </c>
    </row>
    <row r="241" spans="1:8">
      <c r="A241" s="49" t="s">
        <v>439</v>
      </c>
      <c r="B241" s="49" t="s">
        <v>440</v>
      </c>
      <c r="C241" s="42">
        <v>50000000</v>
      </c>
      <c r="D241" s="42">
        <v>-18592.98</v>
      </c>
      <c r="E241" s="42">
        <v>49981407.020000003</v>
      </c>
      <c r="F241" s="43">
        <v>32237135.920000002</v>
      </c>
      <c r="G241" s="42">
        <v>11674998</v>
      </c>
      <c r="H241" s="42">
        <v>17744271.100000001</v>
      </c>
    </row>
    <row r="242" spans="1:8">
      <c r="A242" s="49" t="s">
        <v>441</v>
      </c>
      <c r="B242" s="49" t="s">
        <v>442</v>
      </c>
      <c r="C242" s="42">
        <v>20000000</v>
      </c>
      <c r="D242" s="42">
        <v>0</v>
      </c>
      <c r="E242" s="42">
        <v>20000000</v>
      </c>
      <c r="F242" s="43">
        <v>11394110.689999999</v>
      </c>
      <c r="G242" s="42">
        <v>4546598</v>
      </c>
      <c r="H242" s="42">
        <v>8605889.3100000005</v>
      </c>
    </row>
    <row r="243" spans="1:8">
      <c r="A243" s="49" t="s">
        <v>443</v>
      </c>
      <c r="B243" s="49" t="s">
        <v>444</v>
      </c>
      <c r="C243" s="42">
        <v>93500</v>
      </c>
      <c r="D243" s="42">
        <v>15363.65</v>
      </c>
      <c r="E243" s="42">
        <v>108863.65</v>
      </c>
      <c r="F243" s="43">
        <v>21020.6</v>
      </c>
      <c r="G243" s="42">
        <v>20586.599999999999</v>
      </c>
      <c r="H243" s="42">
        <v>87843.05</v>
      </c>
    </row>
    <row r="244" spans="1:8">
      <c r="A244" s="49" t="s">
        <v>445</v>
      </c>
      <c r="B244" s="49" t="s">
        <v>446</v>
      </c>
      <c r="C244" s="42">
        <v>360000</v>
      </c>
      <c r="D244" s="42">
        <v>-9933.57</v>
      </c>
      <c r="E244" s="42">
        <v>350066.43</v>
      </c>
      <c r="F244" s="43">
        <v>249219</v>
      </c>
      <c r="G244" s="42">
        <v>248988</v>
      </c>
      <c r="H244" s="42">
        <v>100847.43</v>
      </c>
    </row>
    <row r="245" spans="1:8">
      <c r="A245" s="49" t="s">
        <v>447</v>
      </c>
      <c r="B245" s="49" t="s">
        <v>448</v>
      </c>
      <c r="C245" s="42">
        <v>360000</v>
      </c>
      <c r="D245" s="42">
        <v>-9933.57</v>
      </c>
      <c r="E245" s="42">
        <v>350066.43</v>
      </c>
      <c r="F245" s="43">
        <v>249219</v>
      </c>
      <c r="G245" s="42">
        <v>248988</v>
      </c>
      <c r="H245" s="42">
        <v>100847.43</v>
      </c>
    </row>
    <row r="246" spans="1:8">
      <c r="A246" s="49" t="s">
        <v>449</v>
      </c>
      <c r="B246" s="49" t="s">
        <v>450</v>
      </c>
      <c r="C246" s="42">
        <v>4003000</v>
      </c>
      <c r="D246" s="42">
        <v>740196.95</v>
      </c>
      <c r="E246" s="42">
        <v>4743196.95</v>
      </c>
      <c r="F246" s="43">
        <v>1220403.8500000001</v>
      </c>
      <c r="G246" s="42">
        <v>733266.01</v>
      </c>
      <c r="H246" s="42">
        <v>3522793.1</v>
      </c>
    </row>
    <row r="247" spans="1:8">
      <c r="A247" s="49" t="s">
        <v>451</v>
      </c>
      <c r="B247" s="49" t="s">
        <v>452</v>
      </c>
      <c r="C247" s="42">
        <v>4000000</v>
      </c>
      <c r="D247" s="42">
        <v>-4000000</v>
      </c>
      <c r="E247" s="42">
        <v>0</v>
      </c>
      <c r="F247" s="43">
        <v>0</v>
      </c>
      <c r="G247" s="42">
        <v>0</v>
      </c>
      <c r="H247" s="42">
        <v>0</v>
      </c>
    </row>
    <row r="248" spans="1:8">
      <c r="A248" s="49" t="s">
        <v>453</v>
      </c>
      <c r="B248" s="49" t="s">
        <v>454</v>
      </c>
      <c r="C248" s="42">
        <v>0</v>
      </c>
      <c r="D248" s="42">
        <v>3614194.08</v>
      </c>
      <c r="E248" s="42">
        <v>3614194.08</v>
      </c>
      <c r="F248" s="43">
        <v>94400.98</v>
      </c>
      <c r="G248" s="42">
        <v>94400.98</v>
      </c>
      <c r="H248" s="42">
        <v>3519793.1</v>
      </c>
    </row>
    <row r="249" spans="1:8">
      <c r="A249" s="49" t="s">
        <v>455</v>
      </c>
      <c r="B249" s="49" t="s">
        <v>44</v>
      </c>
      <c r="C249" s="42">
        <v>0</v>
      </c>
      <c r="D249" s="42">
        <v>189129.41</v>
      </c>
      <c r="E249" s="42">
        <v>189129.41</v>
      </c>
      <c r="F249" s="43">
        <v>189129.41</v>
      </c>
      <c r="G249" s="42">
        <v>168413.45</v>
      </c>
      <c r="H249" s="42">
        <v>0</v>
      </c>
    </row>
    <row r="250" spans="1:8">
      <c r="A250" s="49" t="s">
        <v>456</v>
      </c>
      <c r="B250" s="49" t="s">
        <v>457</v>
      </c>
      <c r="C250" s="42">
        <v>0</v>
      </c>
      <c r="D250" s="42">
        <v>25852.95</v>
      </c>
      <c r="E250" s="42">
        <v>25852.95</v>
      </c>
      <c r="F250" s="43">
        <v>25852.95</v>
      </c>
      <c r="G250" s="42">
        <v>25852.95</v>
      </c>
      <c r="H250" s="42">
        <v>0</v>
      </c>
    </row>
    <row r="251" spans="1:8">
      <c r="A251" s="49" t="s">
        <v>458</v>
      </c>
      <c r="B251" s="49" t="s">
        <v>40</v>
      </c>
      <c r="C251" s="42">
        <v>0</v>
      </c>
      <c r="D251" s="42">
        <v>23900.58</v>
      </c>
      <c r="E251" s="42">
        <v>23900.58</v>
      </c>
      <c r="F251" s="43">
        <v>23900.58</v>
      </c>
      <c r="G251" s="42">
        <v>23900.58</v>
      </c>
      <c r="H251" s="42">
        <v>0</v>
      </c>
    </row>
    <row r="252" spans="1:8">
      <c r="A252" s="49" t="s">
        <v>461</v>
      </c>
      <c r="B252" s="49" t="s">
        <v>462</v>
      </c>
      <c r="C252" s="42">
        <v>0</v>
      </c>
      <c r="D252" s="42">
        <v>187962.05</v>
      </c>
      <c r="E252" s="42">
        <v>187962.05</v>
      </c>
      <c r="F252" s="43">
        <v>187962.05</v>
      </c>
      <c r="G252" s="42">
        <v>187962.05</v>
      </c>
      <c r="H252" s="42">
        <v>0</v>
      </c>
    </row>
    <row r="253" spans="1:8">
      <c r="A253" s="49" t="s">
        <v>469</v>
      </c>
      <c r="B253" s="49" t="s">
        <v>470</v>
      </c>
      <c r="C253" s="42">
        <v>0</v>
      </c>
      <c r="D253" s="42">
        <v>947.67</v>
      </c>
      <c r="E253" s="42">
        <v>947.67</v>
      </c>
      <c r="F253" s="43">
        <v>947.67</v>
      </c>
      <c r="G253" s="42">
        <v>0</v>
      </c>
      <c r="H253" s="42">
        <v>0</v>
      </c>
    </row>
    <row r="254" spans="1:8">
      <c r="A254" s="49" t="s">
        <v>471</v>
      </c>
      <c r="B254" s="49" t="s">
        <v>472</v>
      </c>
      <c r="C254" s="42">
        <v>3000</v>
      </c>
      <c r="D254" s="42">
        <v>698210.21</v>
      </c>
      <c r="E254" s="42">
        <v>701210.21</v>
      </c>
      <c r="F254" s="43">
        <v>698210.21</v>
      </c>
      <c r="G254" s="42">
        <v>232736</v>
      </c>
      <c r="H254" s="42">
        <v>3000</v>
      </c>
    </row>
    <row r="255" spans="1:8">
      <c r="A255" s="49" t="s">
        <v>473</v>
      </c>
      <c r="B255" s="49" t="s">
        <v>474</v>
      </c>
      <c r="C255" s="42">
        <v>2000</v>
      </c>
      <c r="D255" s="42">
        <v>0</v>
      </c>
      <c r="E255" s="42">
        <v>2000</v>
      </c>
      <c r="F255" s="43">
        <v>0</v>
      </c>
      <c r="G255" s="42">
        <v>0</v>
      </c>
      <c r="H255" s="42">
        <v>2000</v>
      </c>
    </row>
    <row r="256" spans="1:8">
      <c r="A256" s="49" t="s">
        <v>475</v>
      </c>
      <c r="B256" s="49" t="s">
        <v>476</v>
      </c>
      <c r="C256" s="42">
        <v>1000</v>
      </c>
      <c r="D256" s="42">
        <v>0</v>
      </c>
      <c r="E256" s="42">
        <v>1000</v>
      </c>
      <c r="F256" s="43">
        <v>0</v>
      </c>
      <c r="G256" s="42">
        <v>0</v>
      </c>
      <c r="H256" s="42">
        <v>1000</v>
      </c>
    </row>
    <row r="257" spans="1:8">
      <c r="A257" s="49" t="s">
        <v>668</v>
      </c>
      <c r="B257" s="49" t="s">
        <v>669</v>
      </c>
      <c r="C257" s="42">
        <v>0</v>
      </c>
      <c r="D257" s="42">
        <v>698210.21</v>
      </c>
      <c r="E257" s="42">
        <v>698210.21</v>
      </c>
      <c r="F257" s="43">
        <v>698210.21</v>
      </c>
      <c r="G257" s="42">
        <v>232736</v>
      </c>
      <c r="H257" s="42">
        <v>0</v>
      </c>
    </row>
    <row r="258" spans="1:8">
      <c r="A258" s="49" t="s">
        <v>477</v>
      </c>
      <c r="B258" s="49" t="s">
        <v>478</v>
      </c>
      <c r="C258" s="42">
        <v>1710000</v>
      </c>
      <c r="D258" s="42">
        <v>987517.99</v>
      </c>
      <c r="E258" s="42">
        <v>2697517.99</v>
      </c>
      <c r="F258" s="43">
        <v>2301555</v>
      </c>
      <c r="G258" s="42">
        <v>2301555</v>
      </c>
      <c r="H258" s="42">
        <v>395962.99</v>
      </c>
    </row>
    <row r="259" spans="1:8">
      <c r="A259" s="49" t="s">
        <v>479</v>
      </c>
      <c r="B259" s="49" t="s">
        <v>480</v>
      </c>
      <c r="C259" s="42">
        <v>10000</v>
      </c>
      <c r="D259" s="42">
        <v>-0.01</v>
      </c>
      <c r="E259" s="42">
        <v>9999.99</v>
      </c>
      <c r="F259" s="43">
        <v>2263</v>
      </c>
      <c r="G259" s="42">
        <v>2263</v>
      </c>
      <c r="H259" s="42">
        <v>7736.99</v>
      </c>
    </row>
    <row r="260" spans="1:8">
      <c r="A260" s="49" t="s">
        <v>481</v>
      </c>
      <c r="B260" s="49" t="s">
        <v>482</v>
      </c>
      <c r="C260" s="42">
        <v>1000000</v>
      </c>
      <c r="D260" s="42">
        <v>879082</v>
      </c>
      <c r="E260" s="42">
        <v>1879082</v>
      </c>
      <c r="F260" s="43">
        <v>1672971</v>
      </c>
      <c r="G260" s="42">
        <v>1672971</v>
      </c>
      <c r="H260" s="42">
        <v>206111</v>
      </c>
    </row>
    <row r="261" spans="1:8">
      <c r="A261" s="49" t="s">
        <v>483</v>
      </c>
      <c r="B261" s="49" t="s">
        <v>484</v>
      </c>
      <c r="C261" s="42">
        <v>600000</v>
      </c>
      <c r="D261" s="42">
        <v>108436</v>
      </c>
      <c r="E261" s="42">
        <v>708436</v>
      </c>
      <c r="F261" s="43">
        <v>626321</v>
      </c>
      <c r="G261" s="42">
        <v>626321</v>
      </c>
      <c r="H261" s="42">
        <v>82115</v>
      </c>
    </row>
    <row r="262" spans="1:8">
      <c r="A262" s="49" t="s">
        <v>485</v>
      </c>
      <c r="B262" s="49" t="s">
        <v>486</v>
      </c>
      <c r="C262" s="42">
        <v>100000</v>
      </c>
      <c r="D262" s="42">
        <v>0</v>
      </c>
      <c r="E262" s="42">
        <v>100000</v>
      </c>
      <c r="F262" s="43">
        <v>0</v>
      </c>
      <c r="G262" s="42">
        <v>0</v>
      </c>
      <c r="H262" s="42">
        <v>100000</v>
      </c>
    </row>
    <row r="263" spans="1:8">
      <c r="A263" s="49" t="s">
        <v>487</v>
      </c>
      <c r="B263" s="49" t="s">
        <v>488</v>
      </c>
      <c r="C263" s="42">
        <v>10000</v>
      </c>
      <c r="D263" s="42">
        <v>1156.9000000000001</v>
      </c>
      <c r="E263" s="42">
        <v>11156.9</v>
      </c>
      <c r="F263" s="43">
        <v>1156.9000000000001</v>
      </c>
      <c r="G263" s="42">
        <v>1156.9000000000001</v>
      </c>
      <c r="H263" s="42">
        <v>10000</v>
      </c>
    </row>
    <row r="264" spans="1:8">
      <c r="A264" s="49" t="s">
        <v>489</v>
      </c>
      <c r="B264" s="49" t="s">
        <v>490</v>
      </c>
      <c r="C264" s="42">
        <v>4332000</v>
      </c>
      <c r="D264" s="42">
        <v>-14188.31</v>
      </c>
      <c r="E264" s="42">
        <v>4317811.6900000004</v>
      </c>
      <c r="F264" s="43">
        <v>2246425.2200000002</v>
      </c>
      <c r="G264" s="42">
        <v>1875933.34</v>
      </c>
      <c r="H264" s="42">
        <v>2071386.47</v>
      </c>
    </row>
    <row r="265" spans="1:8">
      <c r="A265" s="49" t="s">
        <v>491</v>
      </c>
      <c r="B265" s="49" t="s">
        <v>492</v>
      </c>
      <c r="C265" s="42">
        <v>4332000</v>
      </c>
      <c r="D265" s="42">
        <v>-14188.31</v>
      </c>
      <c r="E265" s="42">
        <v>4317811.6900000004</v>
      </c>
      <c r="F265" s="43">
        <v>2246425.2200000002</v>
      </c>
      <c r="G265" s="42">
        <v>1875933.34</v>
      </c>
      <c r="H265" s="42">
        <v>2071386.47</v>
      </c>
    </row>
    <row r="266" spans="1:8">
      <c r="A266" s="49" t="s">
        <v>493</v>
      </c>
      <c r="B266" s="49" t="s">
        <v>494</v>
      </c>
      <c r="C266" s="42">
        <v>333110000</v>
      </c>
      <c r="D266" s="42">
        <v>875364.84</v>
      </c>
      <c r="E266" s="42">
        <v>333985364.83999997</v>
      </c>
      <c r="F266" s="43">
        <v>129583497.2</v>
      </c>
      <c r="G266" s="42">
        <v>91983332.329999998</v>
      </c>
      <c r="H266" s="42">
        <v>204401867.63999999</v>
      </c>
    </row>
    <row r="267" spans="1:8">
      <c r="A267" s="49" t="s">
        <v>495</v>
      </c>
      <c r="B267" s="49" t="s">
        <v>496</v>
      </c>
      <c r="C267" s="42">
        <v>195310000</v>
      </c>
      <c r="D267" s="42">
        <v>-504231.28</v>
      </c>
      <c r="E267" s="42">
        <v>194805768.72</v>
      </c>
      <c r="F267" s="43">
        <v>85022097.959999993</v>
      </c>
      <c r="G267" s="42">
        <v>75365819.730000004</v>
      </c>
      <c r="H267" s="42">
        <v>109783670.76000001</v>
      </c>
    </row>
    <row r="268" spans="1:8">
      <c r="A268" s="49" t="s">
        <v>497</v>
      </c>
      <c r="B268" s="49" t="s">
        <v>498</v>
      </c>
      <c r="C268" s="42">
        <v>2500000</v>
      </c>
      <c r="D268" s="42">
        <v>-1178916.19</v>
      </c>
      <c r="E268" s="42">
        <v>1321083.81</v>
      </c>
      <c r="F268" s="43">
        <v>1151235.98</v>
      </c>
      <c r="G268" s="42">
        <v>1151235.98</v>
      </c>
      <c r="H268" s="42">
        <v>169847.83</v>
      </c>
    </row>
    <row r="269" spans="1:8">
      <c r="A269" s="49" t="s">
        <v>499</v>
      </c>
      <c r="B269" s="49" t="s">
        <v>500</v>
      </c>
      <c r="C269" s="42">
        <v>100000</v>
      </c>
      <c r="D269" s="42">
        <v>721705.91</v>
      </c>
      <c r="E269" s="42">
        <v>821705.91</v>
      </c>
      <c r="F269" s="43">
        <v>544815.13</v>
      </c>
      <c r="G269" s="42">
        <v>247662.19</v>
      </c>
      <c r="H269" s="42">
        <v>276890.78000000003</v>
      </c>
    </row>
    <row r="270" spans="1:8">
      <c r="A270" s="49" t="s">
        <v>501</v>
      </c>
      <c r="B270" s="49" t="s">
        <v>502</v>
      </c>
      <c r="C270" s="42">
        <v>500000</v>
      </c>
      <c r="D270" s="42">
        <v>-91021</v>
      </c>
      <c r="E270" s="42">
        <v>408979</v>
      </c>
      <c r="F270" s="43">
        <v>0</v>
      </c>
      <c r="G270" s="42">
        <v>0</v>
      </c>
      <c r="H270" s="42">
        <v>408979</v>
      </c>
    </row>
    <row r="271" spans="1:8">
      <c r="A271" s="49" t="s">
        <v>630</v>
      </c>
      <c r="B271" s="49" t="s">
        <v>629</v>
      </c>
      <c r="C271" s="42">
        <v>0</v>
      </c>
      <c r="D271" s="42">
        <v>40000</v>
      </c>
      <c r="E271" s="42">
        <v>40000</v>
      </c>
      <c r="F271" s="43">
        <v>0</v>
      </c>
      <c r="G271" s="42">
        <v>0</v>
      </c>
      <c r="H271" s="42">
        <v>40000</v>
      </c>
    </row>
    <row r="272" spans="1:8">
      <c r="A272" s="49" t="s">
        <v>503</v>
      </c>
      <c r="B272" s="49" t="s">
        <v>670</v>
      </c>
      <c r="C272" s="42">
        <v>38000000</v>
      </c>
      <c r="D272" s="42">
        <v>0</v>
      </c>
      <c r="E272" s="42">
        <v>38000000</v>
      </c>
      <c r="F272" s="43">
        <v>24752705.199999999</v>
      </c>
      <c r="G272" s="42">
        <v>24752705.199999999</v>
      </c>
      <c r="H272" s="42">
        <v>13247294.800000001</v>
      </c>
    </row>
    <row r="273" spans="1:8">
      <c r="A273" s="49" t="s">
        <v>505</v>
      </c>
      <c r="B273" s="49" t="s">
        <v>506</v>
      </c>
      <c r="C273" s="42">
        <v>154200000</v>
      </c>
      <c r="D273" s="42">
        <v>0</v>
      </c>
      <c r="E273" s="42">
        <v>154200000</v>
      </c>
      <c r="F273" s="43">
        <v>58563545.100000001</v>
      </c>
      <c r="G273" s="42">
        <v>49204419.810000002</v>
      </c>
      <c r="H273" s="42">
        <v>95636454.900000006</v>
      </c>
    </row>
    <row r="274" spans="1:8">
      <c r="A274" s="49" t="s">
        <v>507</v>
      </c>
      <c r="B274" s="49" t="s">
        <v>508</v>
      </c>
      <c r="C274" s="42">
        <v>10000</v>
      </c>
      <c r="D274" s="42">
        <v>4000</v>
      </c>
      <c r="E274" s="42">
        <v>14000</v>
      </c>
      <c r="F274" s="43">
        <v>9796.5499999999993</v>
      </c>
      <c r="G274" s="42">
        <v>9796.5499999999993</v>
      </c>
      <c r="H274" s="42">
        <v>4203.45</v>
      </c>
    </row>
    <row r="275" spans="1:8">
      <c r="A275" s="49" t="s">
        <v>509</v>
      </c>
      <c r="B275" s="49" t="s">
        <v>510</v>
      </c>
      <c r="C275" s="42">
        <v>137800000</v>
      </c>
      <c r="D275" s="42">
        <v>1379596.12</v>
      </c>
      <c r="E275" s="42">
        <v>139179596.12</v>
      </c>
      <c r="F275" s="43">
        <v>44561399.240000002</v>
      </c>
      <c r="G275" s="42">
        <v>16617512.6</v>
      </c>
      <c r="H275" s="42">
        <v>94618196.879999995</v>
      </c>
    </row>
    <row r="276" spans="1:8">
      <c r="A276" s="49" t="s">
        <v>511</v>
      </c>
      <c r="B276" s="49" t="s">
        <v>512</v>
      </c>
      <c r="C276" s="42">
        <v>4000000</v>
      </c>
      <c r="D276" s="42">
        <v>5323625.78</v>
      </c>
      <c r="E276" s="42">
        <v>9323625.7799999993</v>
      </c>
      <c r="F276" s="43">
        <v>3395531.46</v>
      </c>
      <c r="G276" s="42">
        <v>1008879.86</v>
      </c>
      <c r="H276" s="42">
        <v>5928094.3200000003</v>
      </c>
    </row>
    <row r="277" spans="1:8">
      <c r="A277" s="49" t="s">
        <v>513</v>
      </c>
      <c r="B277" s="49" t="s">
        <v>514</v>
      </c>
      <c r="C277" s="42">
        <v>40800000</v>
      </c>
      <c r="D277" s="42">
        <v>0</v>
      </c>
      <c r="E277" s="42">
        <v>40800000</v>
      </c>
      <c r="F277" s="43">
        <v>23366318.399999999</v>
      </c>
      <c r="G277" s="42">
        <v>0</v>
      </c>
      <c r="H277" s="42">
        <v>17433681.600000001</v>
      </c>
    </row>
    <row r="278" spans="1:8">
      <c r="A278" s="49" t="s">
        <v>515</v>
      </c>
      <c r="B278" s="49" t="s">
        <v>516</v>
      </c>
      <c r="C278" s="42">
        <v>33000000</v>
      </c>
      <c r="D278" s="42">
        <v>-2464049.66</v>
      </c>
      <c r="E278" s="42">
        <v>30535950.34</v>
      </c>
      <c r="F278" s="43">
        <v>17799549.379999999</v>
      </c>
      <c r="G278" s="42">
        <v>15608632.74</v>
      </c>
      <c r="H278" s="42">
        <v>12736400.960000001</v>
      </c>
    </row>
    <row r="279" spans="1:8">
      <c r="A279" s="49" t="s">
        <v>631</v>
      </c>
      <c r="B279" s="49" t="s">
        <v>671</v>
      </c>
      <c r="C279" s="42">
        <v>60000000</v>
      </c>
      <c r="D279" s="42">
        <v>-1479980</v>
      </c>
      <c r="E279" s="42">
        <v>58520020</v>
      </c>
      <c r="F279" s="43">
        <v>0</v>
      </c>
      <c r="G279" s="42">
        <v>0</v>
      </c>
      <c r="H279" s="42">
        <v>58520020</v>
      </c>
    </row>
    <row r="280" spans="1:8">
      <c r="A280" s="49" t="s">
        <v>517</v>
      </c>
      <c r="B280" s="49" t="s">
        <v>518</v>
      </c>
      <c r="C280" s="42">
        <v>3300</v>
      </c>
      <c r="D280" s="42">
        <v>31601</v>
      </c>
      <c r="E280" s="42">
        <v>34901</v>
      </c>
      <c r="F280" s="43">
        <v>32331.01</v>
      </c>
      <c r="G280" s="42">
        <v>28626.01</v>
      </c>
      <c r="H280" s="42">
        <v>2569.9899999999998</v>
      </c>
    </row>
    <row r="281" spans="1:8">
      <c r="A281" s="49" t="s">
        <v>519</v>
      </c>
      <c r="B281" s="49" t="s">
        <v>520</v>
      </c>
      <c r="C281" s="42">
        <v>3300</v>
      </c>
      <c r="D281" s="42">
        <v>31601</v>
      </c>
      <c r="E281" s="42">
        <v>34901</v>
      </c>
      <c r="F281" s="43">
        <v>32331.01</v>
      </c>
      <c r="G281" s="42">
        <v>28626.01</v>
      </c>
      <c r="H281" s="42">
        <v>2569.9899999999998</v>
      </c>
    </row>
    <row r="282" spans="1:8">
      <c r="A282" s="49" t="s">
        <v>633</v>
      </c>
      <c r="B282" s="49" t="s">
        <v>632</v>
      </c>
      <c r="C282" s="42">
        <v>0</v>
      </c>
      <c r="D282" s="42">
        <v>20530</v>
      </c>
      <c r="E282" s="42">
        <v>20530</v>
      </c>
      <c r="F282" s="43">
        <v>20530</v>
      </c>
      <c r="G282" s="42">
        <v>20530</v>
      </c>
      <c r="H282" s="42">
        <v>0</v>
      </c>
    </row>
    <row r="283" spans="1:8">
      <c r="A283" s="49" t="s">
        <v>521</v>
      </c>
      <c r="B283" s="49" t="s">
        <v>522</v>
      </c>
      <c r="C283" s="42">
        <v>800</v>
      </c>
      <c r="D283" s="42">
        <v>566.26</v>
      </c>
      <c r="E283" s="42">
        <v>1366.26</v>
      </c>
      <c r="F283" s="43">
        <v>730.01</v>
      </c>
      <c r="G283" s="42">
        <v>730.01</v>
      </c>
      <c r="H283" s="42">
        <v>636.25</v>
      </c>
    </row>
    <row r="284" spans="1:8">
      <c r="A284" s="49" t="s">
        <v>523</v>
      </c>
      <c r="B284" s="49" t="s">
        <v>524</v>
      </c>
      <c r="C284" s="42">
        <v>1500</v>
      </c>
      <c r="D284" s="42">
        <v>10925.26</v>
      </c>
      <c r="E284" s="42">
        <v>12425.26</v>
      </c>
      <c r="F284" s="43">
        <v>11071</v>
      </c>
      <c r="G284" s="42">
        <v>7366</v>
      </c>
      <c r="H284" s="42">
        <v>1354.26</v>
      </c>
    </row>
    <row r="285" spans="1:8">
      <c r="A285" s="49" t="s">
        <v>525</v>
      </c>
      <c r="B285" s="49" t="s">
        <v>526</v>
      </c>
      <c r="C285" s="42">
        <v>1000</v>
      </c>
      <c r="D285" s="42">
        <v>-420.52</v>
      </c>
      <c r="E285" s="42">
        <v>579.48</v>
      </c>
      <c r="F285" s="43">
        <v>0</v>
      </c>
      <c r="G285" s="42">
        <v>0</v>
      </c>
      <c r="H285" s="42">
        <v>579.48</v>
      </c>
    </row>
    <row r="286" spans="1:8">
      <c r="A286" s="20" t="s">
        <v>527</v>
      </c>
      <c r="B286" s="32" t="s">
        <v>24</v>
      </c>
      <c r="C286" s="21">
        <v>431000</v>
      </c>
      <c r="D286" s="21">
        <v>0</v>
      </c>
      <c r="E286" s="21">
        <v>431000</v>
      </c>
      <c r="F286" s="48">
        <v>284960</v>
      </c>
      <c r="G286" s="21">
        <v>71240</v>
      </c>
      <c r="H286" s="21">
        <v>146040</v>
      </c>
    </row>
    <row r="287" spans="1:8">
      <c r="A287" s="49" t="s">
        <v>528</v>
      </c>
      <c r="B287" s="49" t="s">
        <v>529</v>
      </c>
      <c r="C287" s="42">
        <v>431000</v>
      </c>
      <c r="D287" s="42">
        <v>0</v>
      </c>
      <c r="E287" s="42">
        <v>431000</v>
      </c>
      <c r="F287" s="43">
        <v>284960</v>
      </c>
      <c r="G287" s="42">
        <v>71240</v>
      </c>
      <c r="H287" s="42">
        <v>146040</v>
      </c>
    </row>
    <row r="288" spans="1:8">
      <c r="A288" s="49" t="s">
        <v>530</v>
      </c>
      <c r="B288" s="49" t="s">
        <v>531</v>
      </c>
      <c r="C288" s="42">
        <v>431000</v>
      </c>
      <c r="D288" s="42">
        <v>0</v>
      </c>
      <c r="E288" s="42">
        <v>431000</v>
      </c>
      <c r="F288" s="43">
        <v>284960</v>
      </c>
      <c r="G288" s="42">
        <v>71240</v>
      </c>
      <c r="H288" s="42">
        <v>146040</v>
      </c>
    </row>
    <row r="289" spans="1:8">
      <c r="A289" s="20" t="s">
        <v>532</v>
      </c>
      <c r="B289" s="30" t="s">
        <v>600</v>
      </c>
      <c r="C289" s="21">
        <v>21620000</v>
      </c>
      <c r="D289" s="21">
        <v>-4401204.8099999996</v>
      </c>
      <c r="E289" s="21">
        <v>17218795.190000001</v>
      </c>
      <c r="F289" s="48">
        <v>3722020.29</v>
      </c>
      <c r="G289" s="21">
        <v>1573010.43</v>
      </c>
      <c r="H289" s="21">
        <v>13496774.9</v>
      </c>
    </row>
    <row r="290" spans="1:8">
      <c r="A290" s="49" t="s">
        <v>533</v>
      </c>
      <c r="B290" s="49" t="s">
        <v>534</v>
      </c>
      <c r="C290" s="42">
        <v>21620000</v>
      </c>
      <c r="D290" s="42">
        <v>-4426204.8099999996</v>
      </c>
      <c r="E290" s="42">
        <v>17193795.190000001</v>
      </c>
      <c r="F290" s="43">
        <v>3722020.29</v>
      </c>
      <c r="G290" s="42">
        <v>1573010.43</v>
      </c>
      <c r="H290" s="42">
        <v>13471774.9</v>
      </c>
    </row>
    <row r="291" spans="1:8">
      <c r="A291" s="49" t="s">
        <v>535</v>
      </c>
      <c r="B291" s="49" t="s">
        <v>536</v>
      </c>
      <c r="C291" s="42">
        <v>1250000</v>
      </c>
      <c r="D291" s="42">
        <v>96952.7</v>
      </c>
      <c r="E291" s="42">
        <v>1346952.7</v>
      </c>
      <c r="F291" s="43">
        <v>605703.9</v>
      </c>
      <c r="G291" s="42">
        <v>265565.44</v>
      </c>
      <c r="H291" s="42">
        <v>741248.8</v>
      </c>
    </row>
    <row r="292" spans="1:8">
      <c r="A292" s="49" t="s">
        <v>537</v>
      </c>
      <c r="B292" s="49" t="s">
        <v>538</v>
      </c>
      <c r="C292" s="42">
        <v>500000</v>
      </c>
      <c r="D292" s="42">
        <v>-306612.65000000002</v>
      </c>
      <c r="E292" s="42">
        <v>193387.35</v>
      </c>
      <c r="F292" s="43">
        <v>177445.57</v>
      </c>
      <c r="G292" s="42">
        <v>91995.57</v>
      </c>
      <c r="H292" s="42">
        <v>15941.78</v>
      </c>
    </row>
    <row r="293" spans="1:8">
      <c r="A293" s="49" t="s">
        <v>539</v>
      </c>
      <c r="B293" s="49" t="s">
        <v>540</v>
      </c>
      <c r="C293" s="42">
        <v>500000</v>
      </c>
      <c r="D293" s="42">
        <v>403565.35</v>
      </c>
      <c r="E293" s="42">
        <v>903565.35</v>
      </c>
      <c r="F293" s="43">
        <v>428258.33</v>
      </c>
      <c r="G293" s="42">
        <v>173569.87</v>
      </c>
      <c r="H293" s="42">
        <v>475307.02</v>
      </c>
    </row>
    <row r="294" spans="1:8">
      <c r="A294" s="49" t="s">
        <v>541</v>
      </c>
      <c r="B294" s="49" t="s">
        <v>542</v>
      </c>
      <c r="C294" s="42">
        <v>250000</v>
      </c>
      <c r="D294" s="42">
        <v>0</v>
      </c>
      <c r="E294" s="42">
        <v>250000</v>
      </c>
      <c r="F294" s="43">
        <v>0</v>
      </c>
      <c r="G294" s="42">
        <v>0</v>
      </c>
      <c r="H294" s="42">
        <v>250000</v>
      </c>
    </row>
    <row r="295" spans="1:8">
      <c r="A295" s="49" t="s">
        <v>543</v>
      </c>
      <c r="B295" s="49" t="s">
        <v>544</v>
      </c>
      <c r="C295" s="42">
        <v>50000</v>
      </c>
      <c r="D295" s="42">
        <v>0</v>
      </c>
      <c r="E295" s="42">
        <v>50000</v>
      </c>
      <c r="F295" s="43">
        <v>0</v>
      </c>
      <c r="G295" s="42">
        <v>0</v>
      </c>
      <c r="H295" s="42">
        <v>50000</v>
      </c>
    </row>
    <row r="296" spans="1:8">
      <c r="A296" s="49" t="s">
        <v>545</v>
      </c>
      <c r="B296" s="49" t="s">
        <v>546</v>
      </c>
      <c r="C296" s="42">
        <v>50000</v>
      </c>
      <c r="D296" s="42">
        <v>0</v>
      </c>
      <c r="E296" s="42">
        <v>50000</v>
      </c>
      <c r="F296" s="43">
        <v>0</v>
      </c>
      <c r="G296" s="42">
        <v>0</v>
      </c>
      <c r="H296" s="42">
        <v>50000</v>
      </c>
    </row>
    <row r="297" spans="1:8">
      <c r="A297" s="49" t="s">
        <v>635</v>
      </c>
      <c r="B297" s="49" t="s">
        <v>634</v>
      </c>
      <c r="C297" s="42">
        <v>0</v>
      </c>
      <c r="D297" s="42">
        <v>107512.5</v>
      </c>
      <c r="E297" s="42">
        <v>107512.5</v>
      </c>
      <c r="F297" s="43">
        <v>0</v>
      </c>
      <c r="G297" s="42">
        <v>0</v>
      </c>
      <c r="H297" s="42">
        <v>107512.5</v>
      </c>
    </row>
    <row r="298" spans="1:8">
      <c r="A298" s="49" t="s">
        <v>637</v>
      </c>
      <c r="B298" s="49" t="s">
        <v>636</v>
      </c>
      <c r="C298" s="42">
        <v>0</v>
      </c>
      <c r="D298" s="42">
        <v>107512.5</v>
      </c>
      <c r="E298" s="42">
        <v>107512.5</v>
      </c>
      <c r="F298" s="43">
        <v>0</v>
      </c>
      <c r="G298" s="42">
        <v>0</v>
      </c>
      <c r="H298" s="42">
        <v>107512.5</v>
      </c>
    </row>
    <row r="299" spans="1:8">
      <c r="A299" s="49" t="s">
        <v>547</v>
      </c>
      <c r="B299" s="49" t="s">
        <v>548</v>
      </c>
      <c r="C299" s="42">
        <v>5000000</v>
      </c>
      <c r="D299" s="42">
        <v>-1028045.93</v>
      </c>
      <c r="E299" s="42">
        <v>3971954.07</v>
      </c>
      <c r="F299" s="43">
        <v>0</v>
      </c>
      <c r="G299" s="42">
        <v>0</v>
      </c>
      <c r="H299" s="42">
        <v>3971954.07</v>
      </c>
    </row>
    <row r="300" spans="1:8">
      <c r="A300" s="49" t="s">
        <v>549</v>
      </c>
      <c r="B300" s="49" t="s">
        <v>550</v>
      </c>
      <c r="C300" s="42">
        <v>4500000</v>
      </c>
      <c r="D300" s="42">
        <v>-1028045.93</v>
      </c>
      <c r="E300" s="42">
        <v>3471954.07</v>
      </c>
      <c r="F300" s="43">
        <v>0</v>
      </c>
      <c r="G300" s="42">
        <v>0</v>
      </c>
      <c r="H300" s="42">
        <v>3471954.07</v>
      </c>
    </row>
    <row r="301" spans="1:8">
      <c r="A301" s="49" t="s">
        <v>551</v>
      </c>
      <c r="B301" s="49" t="s">
        <v>552</v>
      </c>
      <c r="C301" s="42">
        <v>500000</v>
      </c>
      <c r="D301" s="42">
        <v>0</v>
      </c>
      <c r="E301" s="42">
        <v>500000</v>
      </c>
      <c r="F301" s="43">
        <v>0</v>
      </c>
      <c r="G301" s="42">
        <v>0</v>
      </c>
      <c r="H301" s="42">
        <v>500000</v>
      </c>
    </row>
    <row r="302" spans="1:8">
      <c r="A302" s="49" t="s">
        <v>553</v>
      </c>
      <c r="B302" s="49" t="s">
        <v>554</v>
      </c>
      <c r="C302" s="42">
        <v>15320000</v>
      </c>
      <c r="D302" s="42">
        <v>-3602624.08</v>
      </c>
      <c r="E302" s="42">
        <v>11717375.92</v>
      </c>
      <c r="F302" s="43">
        <v>3116316.39</v>
      </c>
      <c r="G302" s="42">
        <v>1307444.99</v>
      </c>
      <c r="H302" s="42">
        <v>8601059.5299999993</v>
      </c>
    </row>
    <row r="303" spans="1:8">
      <c r="A303" s="49" t="s">
        <v>555</v>
      </c>
      <c r="B303" s="49" t="s">
        <v>556</v>
      </c>
      <c r="C303" s="42">
        <v>12000000</v>
      </c>
      <c r="D303" s="42">
        <v>-2907525.77</v>
      </c>
      <c r="E303" s="42">
        <v>9092474.2300000004</v>
      </c>
      <c r="F303" s="43">
        <v>2016435.04</v>
      </c>
      <c r="G303" s="42">
        <v>1158784.04</v>
      </c>
      <c r="H303" s="42">
        <v>7076039.1900000004</v>
      </c>
    </row>
    <row r="304" spans="1:8">
      <c r="A304" s="49" t="s">
        <v>557</v>
      </c>
      <c r="B304" s="49" t="s">
        <v>558</v>
      </c>
      <c r="C304" s="42">
        <v>20000</v>
      </c>
      <c r="D304" s="42">
        <v>258851.8</v>
      </c>
      <c r="E304" s="42">
        <v>278851.8</v>
      </c>
      <c r="F304" s="43">
        <v>129426.7</v>
      </c>
      <c r="G304" s="42">
        <v>129426.7</v>
      </c>
      <c r="H304" s="42">
        <v>149425.1</v>
      </c>
    </row>
    <row r="305" spans="1:8">
      <c r="A305" s="49" t="s">
        <v>639</v>
      </c>
      <c r="B305" s="49" t="s">
        <v>638</v>
      </c>
      <c r="C305" s="42">
        <v>0</v>
      </c>
      <c r="D305" s="42">
        <v>293152.42</v>
      </c>
      <c r="E305" s="42">
        <v>293152.42</v>
      </c>
      <c r="F305" s="43">
        <v>36067.31</v>
      </c>
      <c r="G305" s="42">
        <v>0</v>
      </c>
      <c r="H305" s="42">
        <v>257085.11</v>
      </c>
    </row>
    <row r="306" spans="1:8">
      <c r="A306" s="49" t="s">
        <v>559</v>
      </c>
      <c r="B306" s="49" t="s">
        <v>560</v>
      </c>
      <c r="C306" s="42">
        <v>100000</v>
      </c>
      <c r="D306" s="42">
        <v>31481.53</v>
      </c>
      <c r="E306" s="42">
        <v>131481.53</v>
      </c>
      <c r="F306" s="43">
        <v>31481.53</v>
      </c>
      <c r="G306" s="42">
        <v>0</v>
      </c>
      <c r="H306" s="42">
        <v>100000</v>
      </c>
    </row>
    <row r="307" spans="1:8">
      <c r="A307" s="49" t="s">
        <v>561</v>
      </c>
      <c r="B307" s="49" t="s">
        <v>562</v>
      </c>
      <c r="C307" s="42">
        <v>3000000</v>
      </c>
      <c r="D307" s="42">
        <v>-1206923.76</v>
      </c>
      <c r="E307" s="42">
        <v>1793076.24</v>
      </c>
      <c r="F307" s="43">
        <v>856422.25</v>
      </c>
      <c r="G307" s="42">
        <v>19234.25</v>
      </c>
      <c r="H307" s="42">
        <v>936653.99</v>
      </c>
    </row>
    <row r="308" spans="1:8">
      <c r="A308" s="49" t="s">
        <v>563</v>
      </c>
      <c r="B308" s="49" t="s">
        <v>564</v>
      </c>
      <c r="C308" s="42">
        <v>200000</v>
      </c>
      <c r="D308" s="42">
        <v>-71660.3</v>
      </c>
      <c r="E308" s="42">
        <v>128339.7</v>
      </c>
      <c r="F308" s="43">
        <v>46483.56</v>
      </c>
      <c r="G308" s="42">
        <v>0</v>
      </c>
      <c r="H308" s="42">
        <v>81856.14</v>
      </c>
    </row>
    <row r="309" spans="1:8">
      <c r="A309" s="49" t="s">
        <v>565</v>
      </c>
      <c r="B309" s="49" t="s">
        <v>566</v>
      </c>
      <c r="C309" s="42">
        <v>200000</v>
      </c>
      <c r="D309" s="42">
        <v>-71660.3</v>
      </c>
      <c r="E309" s="42">
        <v>128339.7</v>
      </c>
      <c r="F309" s="43">
        <v>46483.56</v>
      </c>
      <c r="G309" s="42">
        <v>0</v>
      </c>
      <c r="H309" s="42">
        <v>81856.14</v>
      </c>
    </row>
    <row r="310" spans="1:8">
      <c r="A310" s="49" t="s">
        <v>672</v>
      </c>
      <c r="B310" s="49" t="s">
        <v>673</v>
      </c>
      <c r="C310" s="42">
        <v>0</v>
      </c>
      <c r="D310" s="42">
        <v>25000</v>
      </c>
      <c r="E310" s="42">
        <v>25000</v>
      </c>
      <c r="F310" s="43">
        <v>0</v>
      </c>
      <c r="G310" s="42">
        <v>0</v>
      </c>
      <c r="H310" s="42">
        <v>25000</v>
      </c>
    </row>
    <row r="311" spans="1:8">
      <c r="A311" s="49" t="s">
        <v>674</v>
      </c>
      <c r="B311" s="49" t="s">
        <v>675</v>
      </c>
      <c r="C311" s="42">
        <v>0</v>
      </c>
      <c r="D311" s="42">
        <v>25000</v>
      </c>
      <c r="E311" s="42">
        <v>25000</v>
      </c>
      <c r="F311" s="43">
        <v>0</v>
      </c>
      <c r="G311" s="42">
        <v>0</v>
      </c>
      <c r="H311" s="42">
        <v>25000</v>
      </c>
    </row>
    <row r="312" spans="1:8">
      <c r="A312" s="49" t="s">
        <v>676</v>
      </c>
      <c r="B312" s="49" t="s">
        <v>677</v>
      </c>
      <c r="C312" s="42">
        <v>0</v>
      </c>
      <c r="D312" s="42">
        <v>25000</v>
      </c>
      <c r="E312" s="42">
        <v>25000</v>
      </c>
      <c r="F312" s="43">
        <v>0</v>
      </c>
      <c r="G312" s="42">
        <v>0</v>
      </c>
      <c r="H312" s="42">
        <v>25000</v>
      </c>
    </row>
    <row r="313" spans="1:8">
      <c r="A313" s="20" t="s">
        <v>567</v>
      </c>
      <c r="B313" s="30" t="s">
        <v>600</v>
      </c>
      <c r="C313" s="21">
        <v>273605344</v>
      </c>
      <c r="D313" s="21">
        <v>-10324348.689999999</v>
      </c>
      <c r="E313" s="21">
        <v>263280995.31</v>
      </c>
      <c r="F313" s="48">
        <v>39877656</v>
      </c>
      <c r="G313" s="21">
        <v>17801193.140000001</v>
      </c>
      <c r="H313" s="21">
        <v>223403339.31</v>
      </c>
    </row>
    <row r="314" spans="1:8">
      <c r="A314" s="49" t="s">
        <v>568</v>
      </c>
      <c r="B314" s="49" t="s">
        <v>569</v>
      </c>
      <c r="C314" s="42">
        <v>273605344</v>
      </c>
      <c r="D314" s="42">
        <v>-10324348.689999999</v>
      </c>
      <c r="E314" s="42">
        <v>263280995.31</v>
      </c>
      <c r="F314" s="43">
        <v>39877656</v>
      </c>
      <c r="G314" s="42">
        <v>17801193.140000001</v>
      </c>
      <c r="H314" s="42">
        <v>223403339.31</v>
      </c>
    </row>
    <row r="315" spans="1:8">
      <c r="A315" s="49" t="s">
        <v>570</v>
      </c>
      <c r="B315" s="49" t="s">
        <v>571</v>
      </c>
      <c r="C315" s="42">
        <v>273605344</v>
      </c>
      <c r="D315" s="42">
        <v>-15022669.35</v>
      </c>
      <c r="E315" s="42">
        <v>258582674.65000001</v>
      </c>
      <c r="F315" s="43">
        <v>37172201.030000001</v>
      </c>
      <c r="G315" s="42">
        <v>17633577.739999998</v>
      </c>
      <c r="H315" s="42">
        <v>221410473.62</v>
      </c>
    </row>
    <row r="316" spans="1:8">
      <c r="A316" s="49" t="s">
        <v>572</v>
      </c>
      <c r="B316" s="49" t="s">
        <v>573</v>
      </c>
      <c r="C316" s="42">
        <v>273605344</v>
      </c>
      <c r="D316" s="42">
        <v>-15022669.35</v>
      </c>
      <c r="E316" s="42">
        <v>258582674.65000001</v>
      </c>
      <c r="F316" s="43">
        <v>37172201.030000001</v>
      </c>
      <c r="G316" s="42">
        <v>17633577.739999998</v>
      </c>
      <c r="H316" s="42">
        <v>221410473.62</v>
      </c>
    </row>
    <row r="317" spans="1:8">
      <c r="A317" s="49" t="s">
        <v>574</v>
      </c>
      <c r="B317" s="49" t="s">
        <v>575</v>
      </c>
      <c r="C317" s="42">
        <v>149072844</v>
      </c>
      <c r="D317" s="42">
        <v>-481232.16</v>
      </c>
      <c r="E317" s="42">
        <v>148591611.84</v>
      </c>
      <c r="F317" s="43">
        <v>16542304.359999999</v>
      </c>
      <c r="G317" s="42">
        <v>4543161.43</v>
      </c>
      <c r="H317" s="42">
        <v>132049307.48</v>
      </c>
    </row>
    <row r="318" spans="1:8">
      <c r="A318" s="49" t="s">
        <v>576</v>
      </c>
      <c r="B318" s="49" t="s">
        <v>577</v>
      </c>
      <c r="C318" s="42">
        <v>72370000</v>
      </c>
      <c r="D318" s="42">
        <v>0</v>
      </c>
      <c r="E318" s="42">
        <v>72370000</v>
      </c>
      <c r="F318" s="43">
        <v>14609703.039999999</v>
      </c>
      <c r="G318" s="42">
        <v>8876016.8900000006</v>
      </c>
      <c r="H318" s="42">
        <v>57760296.960000001</v>
      </c>
    </row>
    <row r="319" spans="1:8">
      <c r="A319" s="49" t="s">
        <v>578</v>
      </c>
      <c r="B319" s="49" t="s">
        <v>678</v>
      </c>
      <c r="C319" s="42">
        <v>72370000</v>
      </c>
      <c r="D319" s="42">
        <v>0</v>
      </c>
      <c r="E319" s="42">
        <v>72370000</v>
      </c>
      <c r="F319" s="43">
        <v>14609703.039999999</v>
      </c>
      <c r="G319" s="42">
        <v>8876016.8900000006</v>
      </c>
      <c r="H319" s="42">
        <v>57760296.960000001</v>
      </c>
    </row>
    <row r="320" spans="1:8">
      <c r="A320" s="49" t="s">
        <v>579</v>
      </c>
      <c r="B320" s="49" t="s">
        <v>580</v>
      </c>
      <c r="C320" s="42">
        <v>15000000</v>
      </c>
      <c r="D320" s="42">
        <v>-5516379.6900000004</v>
      </c>
      <c r="E320" s="42">
        <v>9483620.3100000005</v>
      </c>
      <c r="F320" s="43">
        <v>6020193.6299999999</v>
      </c>
      <c r="G320" s="42">
        <v>4214399.42</v>
      </c>
      <c r="H320" s="42">
        <v>3463426.68</v>
      </c>
    </row>
    <row r="321" spans="1:8">
      <c r="A321" s="49" t="s">
        <v>581</v>
      </c>
      <c r="B321" s="49" t="s">
        <v>582</v>
      </c>
      <c r="C321" s="42">
        <v>19162500</v>
      </c>
      <c r="D321" s="42">
        <v>-9025057.5</v>
      </c>
      <c r="E321" s="42">
        <v>10137442.5</v>
      </c>
      <c r="F321" s="43">
        <v>0</v>
      </c>
      <c r="G321" s="42">
        <v>0</v>
      </c>
      <c r="H321" s="42">
        <v>10137442.5</v>
      </c>
    </row>
    <row r="322" spans="1:8">
      <c r="A322" s="49" t="s">
        <v>583</v>
      </c>
      <c r="B322" s="49" t="s">
        <v>584</v>
      </c>
      <c r="C322" s="42">
        <v>19162500</v>
      </c>
      <c r="D322" s="42">
        <v>-9025057.5</v>
      </c>
      <c r="E322" s="42">
        <v>10137442.5</v>
      </c>
      <c r="F322" s="43">
        <v>0</v>
      </c>
      <c r="G322" s="42">
        <v>0</v>
      </c>
      <c r="H322" s="42">
        <v>10137442.5</v>
      </c>
    </row>
    <row r="323" spans="1:8">
      <c r="A323" s="49" t="s">
        <v>585</v>
      </c>
      <c r="B323" s="49" t="s">
        <v>586</v>
      </c>
      <c r="C323" s="42">
        <v>18000000</v>
      </c>
      <c r="D323" s="42">
        <v>0</v>
      </c>
      <c r="E323" s="42">
        <v>18000000</v>
      </c>
      <c r="F323" s="43">
        <v>0</v>
      </c>
      <c r="G323" s="42">
        <v>0</v>
      </c>
      <c r="H323" s="42">
        <v>18000000</v>
      </c>
    </row>
    <row r="324" spans="1:8">
      <c r="A324" s="49" t="s">
        <v>587</v>
      </c>
      <c r="B324" s="49" t="s">
        <v>588</v>
      </c>
      <c r="C324" s="42">
        <v>18000000</v>
      </c>
      <c r="D324" s="42">
        <v>0</v>
      </c>
      <c r="E324" s="42">
        <v>18000000</v>
      </c>
      <c r="F324" s="43">
        <v>0</v>
      </c>
      <c r="G324" s="42">
        <v>0</v>
      </c>
      <c r="H324" s="42">
        <v>18000000</v>
      </c>
    </row>
    <row r="325" spans="1:8">
      <c r="A325" s="49" t="s">
        <v>642</v>
      </c>
      <c r="B325" s="49" t="s">
        <v>641</v>
      </c>
      <c r="C325" s="42">
        <v>0</v>
      </c>
      <c r="D325" s="42">
        <v>4698320.66</v>
      </c>
      <c r="E325" s="42">
        <v>4698320.66</v>
      </c>
      <c r="F325" s="43">
        <v>2705454.97</v>
      </c>
      <c r="G325" s="42">
        <v>167615.4</v>
      </c>
      <c r="H325" s="42">
        <v>1992865.69</v>
      </c>
    </row>
    <row r="326" spans="1:8">
      <c r="A326" s="49" t="s">
        <v>644</v>
      </c>
      <c r="B326" s="49" t="s">
        <v>573</v>
      </c>
      <c r="C326" s="42">
        <v>0</v>
      </c>
      <c r="D326" s="42">
        <v>4698320.66</v>
      </c>
      <c r="E326" s="42">
        <v>4698320.66</v>
      </c>
      <c r="F326" s="43">
        <v>2705454.97</v>
      </c>
      <c r="G326" s="42">
        <v>167615.4</v>
      </c>
      <c r="H326" s="42">
        <v>1992865.69</v>
      </c>
    </row>
    <row r="327" spans="1:8">
      <c r="A327" s="49" t="s">
        <v>645</v>
      </c>
      <c r="B327" s="49" t="s">
        <v>643</v>
      </c>
      <c r="C327" s="42">
        <v>0</v>
      </c>
      <c r="D327" s="42">
        <v>4698320.66</v>
      </c>
      <c r="E327" s="42">
        <v>4698320.66</v>
      </c>
      <c r="F327" s="43">
        <v>2705454.97</v>
      </c>
      <c r="G327" s="42">
        <v>167615.4</v>
      </c>
      <c r="H327" s="42">
        <v>1992865.69</v>
      </c>
    </row>
    <row r="328" spans="1:8">
      <c r="A328" s="20" t="s">
        <v>646</v>
      </c>
      <c r="B328" s="30" t="s">
        <v>600</v>
      </c>
      <c r="C328" s="21">
        <v>470000</v>
      </c>
      <c r="D328" s="21">
        <v>47500</v>
      </c>
      <c r="E328" s="21">
        <v>517500</v>
      </c>
      <c r="F328" s="48">
        <v>47500</v>
      </c>
      <c r="G328" s="21">
        <v>470000</v>
      </c>
      <c r="H328" s="21">
        <v>470000</v>
      </c>
    </row>
    <row r="329" spans="1:8">
      <c r="A329" s="49" t="s">
        <v>650</v>
      </c>
      <c r="B329" s="49" t="s">
        <v>647</v>
      </c>
      <c r="C329" s="42">
        <v>470000</v>
      </c>
      <c r="D329" s="42">
        <v>0</v>
      </c>
      <c r="E329" s="42">
        <v>470000</v>
      </c>
      <c r="F329" s="43">
        <v>0</v>
      </c>
      <c r="G329" s="42">
        <v>0</v>
      </c>
      <c r="H329" s="42">
        <v>470000</v>
      </c>
    </row>
    <row r="330" spans="1:8">
      <c r="A330" s="49" t="s">
        <v>651</v>
      </c>
      <c r="B330" s="49" t="s">
        <v>648</v>
      </c>
      <c r="C330" s="42">
        <v>470000</v>
      </c>
      <c r="D330" s="42">
        <v>0</v>
      </c>
      <c r="E330" s="42">
        <v>470000</v>
      </c>
      <c r="F330" s="43">
        <v>0</v>
      </c>
      <c r="G330" s="42">
        <v>0</v>
      </c>
      <c r="H330" s="42">
        <v>470000</v>
      </c>
    </row>
    <row r="331" spans="1:8">
      <c r="A331" s="49" t="s">
        <v>652</v>
      </c>
      <c r="B331" s="49" t="s">
        <v>649</v>
      </c>
      <c r="C331" s="42">
        <v>470000</v>
      </c>
      <c r="D331" s="42">
        <v>0</v>
      </c>
      <c r="E331" s="42">
        <v>470000</v>
      </c>
      <c r="F331" s="43">
        <v>0</v>
      </c>
      <c r="G331" s="42">
        <v>0</v>
      </c>
      <c r="H331" s="42">
        <v>470000</v>
      </c>
    </row>
    <row r="332" spans="1:8">
      <c r="A332" s="49" t="s">
        <v>679</v>
      </c>
      <c r="B332" s="49" t="s">
        <v>680</v>
      </c>
      <c r="C332" s="42">
        <v>0</v>
      </c>
      <c r="D332" s="42">
        <v>47500</v>
      </c>
      <c r="E332" s="42">
        <v>47500</v>
      </c>
      <c r="F332" s="43">
        <v>47500</v>
      </c>
      <c r="G332" s="42">
        <v>47500</v>
      </c>
      <c r="H332" s="42">
        <v>0</v>
      </c>
    </row>
    <row r="333" spans="1:8">
      <c r="A333" s="49" t="s">
        <v>681</v>
      </c>
      <c r="B333" s="49" t="s">
        <v>682</v>
      </c>
      <c r="C333" s="42">
        <v>0</v>
      </c>
      <c r="D333" s="42">
        <v>47500</v>
      </c>
      <c r="E333" s="42">
        <v>47500</v>
      </c>
      <c r="F333" s="43">
        <v>47500</v>
      </c>
      <c r="G333" s="42">
        <v>47500</v>
      </c>
      <c r="H333" s="42">
        <v>0</v>
      </c>
    </row>
    <row r="334" spans="1:8">
      <c r="A334" s="49" t="s">
        <v>683</v>
      </c>
      <c r="B334" s="49" t="s">
        <v>684</v>
      </c>
      <c r="C334" s="42">
        <v>0</v>
      </c>
      <c r="D334" s="42">
        <v>47500</v>
      </c>
      <c r="E334" s="42">
        <v>47500</v>
      </c>
      <c r="F334" s="43">
        <v>47500</v>
      </c>
      <c r="G334" s="42">
        <v>47500</v>
      </c>
      <c r="H334" s="42">
        <v>0</v>
      </c>
    </row>
    <row r="335" spans="1:8">
      <c r="A335" s="20" t="s">
        <v>589</v>
      </c>
      <c r="B335" s="30" t="s">
        <v>600</v>
      </c>
      <c r="C335" s="21">
        <v>220230000</v>
      </c>
      <c r="D335" s="21">
        <v>2111702.38</v>
      </c>
      <c r="E335" s="21">
        <v>222341702.38</v>
      </c>
      <c r="F335" s="48">
        <v>222259022.66</v>
      </c>
      <c r="G335" s="21">
        <v>128883607.22</v>
      </c>
      <c r="H335" s="21">
        <v>82649.72</v>
      </c>
    </row>
    <row r="336" spans="1:8">
      <c r="A336" s="49" t="s">
        <v>590</v>
      </c>
      <c r="B336" s="49" t="s">
        <v>591</v>
      </c>
      <c r="C336" s="42">
        <v>230000</v>
      </c>
      <c r="D336" s="42">
        <v>2111702.38</v>
      </c>
      <c r="E336" s="42">
        <v>2341702.38</v>
      </c>
      <c r="F336" s="43">
        <v>2259022.66</v>
      </c>
      <c r="G336" s="42">
        <v>2259022.66</v>
      </c>
      <c r="H336" s="42">
        <v>82679.72</v>
      </c>
    </row>
    <row r="337" spans="1:8">
      <c r="A337" s="49" t="s">
        <v>592</v>
      </c>
      <c r="B337" s="49" t="s">
        <v>593</v>
      </c>
      <c r="C337" s="42">
        <v>230000</v>
      </c>
      <c r="D337" s="42">
        <v>2111702.38</v>
      </c>
      <c r="E337" s="42">
        <v>2341702.38</v>
      </c>
      <c r="F337" s="43">
        <v>2259022.66</v>
      </c>
      <c r="G337" s="42">
        <v>2259022.66</v>
      </c>
      <c r="H337" s="42">
        <v>82679.72</v>
      </c>
    </row>
    <row r="338" spans="1:8">
      <c r="A338" s="49" t="s">
        <v>594</v>
      </c>
      <c r="B338" s="49" t="s">
        <v>595</v>
      </c>
      <c r="C338" s="42">
        <v>230000</v>
      </c>
      <c r="D338" s="42">
        <v>2111702.38</v>
      </c>
      <c r="E338" s="42">
        <v>2341702.38</v>
      </c>
      <c r="F338" s="43">
        <v>2259022.66</v>
      </c>
      <c r="G338" s="42">
        <v>2259022.66</v>
      </c>
      <c r="H338" s="42">
        <v>82679.72</v>
      </c>
    </row>
    <row r="339" spans="1:8">
      <c r="A339" s="49" t="s">
        <v>596</v>
      </c>
      <c r="B339" s="49" t="s">
        <v>597</v>
      </c>
      <c r="C339" s="42">
        <v>220000000</v>
      </c>
      <c r="D339" s="42">
        <v>0</v>
      </c>
      <c r="E339" s="42">
        <v>220000000</v>
      </c>
      <c r="F339" s="43">
        <v>220000000</v>
      </c>
      <c r="G339" s="42">
        <v>126624584.56</v>
      </c>
      <c r="H339" s="42">
        <v>0</v>
      </c>
    </row>
    <row r="340" spans="1:8">
      <c r="A340" s="20" t="s">
        <v>598</v>
      </c>
      <c r="B340" s="30" t="s">
        <v>600</v>
      </c>
      <c r="C340" s="21">
        <v>1587927936</v>
      </c>
      <c r="D340" s="21">
        <v>0</v>
      </c>
      <c r="E340" s="21">
        <v>1587927936</v>
      </c>
      <c r="F340" s="48">
        <v>809570825.92999995</v>
      </c>
      <c r="G340" s="21">
        <v>458140066</v>
      </c>
      <c r="H340" s="21">
        <v>778357110.07000005</v>
      </c>
    </row>
    <row r="341" spans="1:8">
      <c r="A341" t="s">
        <v>685</v>
      </c>
    </row>
    <row r="342" spans="1:8">
      <c r="A342" t="s">
        <v>686</v>
      </c>
      <c r="B342" s="50">
        <v>44091</v>
      </c>
      <c r="C342" s="51">
        <v>36494.554699074077</v>
      </c>
      <c r="D342" s="49" t="s">
        <v>687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-0.249977111117893"/>
  </sheetPr>
  <dimension ref="A1:K370"/>
  <sheetViews>
    <sheetView workbookViewId="0">
      <pane ySplit="5" topLeftCell="A317" activePane="bottomLeft" state="frozen"/>
      <selection pane="bottomLeft" activeCell="B316" sqref="B316"/>
    </sheetView>
  </sheetViews>
  <sheetFormatPr baseColWidth="10" defaultColWidth="6.85546875" defaultRowHeight="12.75"/>
  <cols>
    <col min="1" max="1" width="18.7109375" style="1" customWidth="1"/>
    <col min="2" max="2" width="56.5703125" style="6" customWidth="1"/>
    <col min="3" max="3" width="21.42578125" style="1" customWidth="1"/>
    <col min="4" max="4" width="20.5703125" style="1" customWidth="1"/>
    <col min="5" max="5" width="18.7109375" style="87" customWidth="1"/>
    <col min="6" max="6" width="20.5703125" style="85" customWidth="1"/>
    <col min="7" max="7" width="21.42578125" style="1" customWidth="1"/>
    <col min="8" max="8" width="19.140625" bestFit="1" customWidth="1"/>
    <col min="9" max="9" width="17.28515625" bestFit="1" customWidth="1"/>
    <col min="10" max="11" width="14.85546875" style="1" bestFit="1" customWidth="1"/>
    <col min="12" max="16384" width="6.85546875" style="1"/>
  </cols>
  <sheetData>
    <row r="1" spans="1:9" ht="15">
      <c r="B1" s="153" t="s">
        <v>606</v>
      </c>
      <c r="C1" s="153"/>
      <c r="D1" s="153"/>
      <c r="E1" s="153"/>
      <c r="F1" s="153"/>
      <c r="G1" s="153"/>
    </row>
    <row r="2" spans="1:9" ht="10.5" customHeight="1">
      <c r="E2" s="85"/>
    </row>
    <row r="3" spans="1:9" ht="6.75" customHeight="1">
      <c r="E3" s="85"/>
    </row>
    <row r="4" spans="1:9" ht="42.75" customHeight="1">
      <c r="A4" s="11"/>
      <c r="B4" s="12" t="s">
        <v>0</v>
      </c>
      <c r="C4" s="13" t="s">
        <v>599</v>
      </c>
      <c r="D4" s="13" t="s">
        <v>691</v>
      </c>
      <c r="E4" s="86" t="s">
        <v>692</v>
      </c>
      <c r="F4" s="91" t="s">
        <v>688</v>
      </c>
      <c r="G4" s="27" t="s">
        <v>607</v>
      </c>
    </row>
    <row r="5" spans="1:9" ht="3" customHeight="1">
      <c r="A5" s="4" t="s">
        <v>1</v>
      </c>
      <c r="B5" s="4"/>
      <c r="E5" s="85"/>
    </row>
    <row r="6" spans="1:9" s="22" customFormat="1" ht="17.25" customHeight="1">
      <c r="A6" s="55" t="s">
        <v>2</v>
      </c>
      <c r="B6" s="56" t="s">
        <v>3</v>
      </c>
      <c r="C6" s="57">
        <f>+C7+C14+C20+C31+C33</f>
        <v>237421589</v>
      </c>
      <c r="D6" s="57">
        <f>+D7+D14+D20+D31+D33</f>
        <v>151958392.65000001</v>
      </c>
      <c r="E6" s="57">
        <f>+E7+E14+E20+E31+E33</f>
        <v>78661343.450000003</v>
      </c>
      <c r="F6" s="57">
        <f>+F7+F14+F20+F31+F33</f>
        <v>230619736.09999999</v>
      </c>
      <c r="G6" s="57">
        <f>+F6-C6</f>
        <v>-6801852.900000006</v>
      </c>
      <c r="H6"/>
      <c r="I6"/>
    </row>
    <row r="7" spans="1:9" ht="21.75" customHeight="1">
      <c r="A7" s="58" t="s">
        <v>4</v>
      </c>
      <c r="B7" s="59" t="s">
        <v>5</v>
      </c>
      <c r="C7" s="60">
        <f>+C8</f>
        <v>83528795</v>
      </c>
      <c r="D7" s="60">
        <f>+D8</f>
        <v>53444245.910000004</v>
      </c>
      <c r="E7" s="60">
        <f>+E8</f>
        <v>25141483</v>
      </c>
      <c r="F7" s="60">
        <f>+F8</f>
        <v>78585728.910000011</v>
      </c>
      <c r="G7" s="60">
        <f t="shared" ref="G7:G71" si="0">+F7-C7</f>
        <v>-4943066.0899999887</v>
      </c>
    </row>
    <row r="8" spans="1:9" s="19" customFormat="1" ht="15" customHeight="1">
      <c r="A8" s="16" t="s">
        <v>6</v>
      </c>
      <c r="B8" s="17" t="s">
        <v>7</v>
      </c>
      <c r="C8" s="18">
        <f>SUM(C9:C13)</f>
        <v>83528795</v>
      </c>
      <c r="D8" s="18">
        <f>SUM(D9:D13)</f>
        <v>53444245.910000004</v>
      </c>
      <c r="E8" s="39">
        <f>SUM(E9:E13)</f>
        <v>25141483</v>
      </c>
      <c r="F8" s="39">
        <f>SUM(F9:F13)</f>
        <v>78585728.910000011</v>
      </c>
      <c r="G8" s="18">
        <f t="shared" si="0"/>
        <v>-4943066.0899999887</v>
      </c>
      <c r="H8"/>
      <c r="I8"/>
    </row>
    <row r="9" spans="1:9" ht="15" customHeight="1">
      <c r="A9" s="3" t="s">
        <v>8</v>
      </c>
      <c r="B9" s="6" t="s">
        <v>9</v>
      </c>
      <c r="C9" s="30">
        <v>74876718</v>
      </c>
      <c r="D9" s="44">
        <v>48581301.93</v>
      </c>
      <c r="E9" s="87">
        <f>16170000+6475130</f>
        <v>22645130</v>
      </c>
      <c r="F9" s="87">
        <f>+D9+E9</f>
        <v>71226431.930000007</v>
      </c>
      <c r="G9" s="15">
        <f t="shared" si="0"/>
        <v>-3650286.0699999928</v>
      </c>
      <c r="H9" s="98"/>
      <c r="I9" s="33"/>
    </row>
    <row r="10" spans="1:9" ht="15" customHeight="1">
      <c r="A10" s="3" t="s">
        <v>10</v>
      </c>
      <c r="B10" s="6" t="s">
        <v>11</v>
      </c>
      <c r="C10" s="30">
        <v>4290949</v>
      </c>
      <c r="D10" s="44">
        <v>1238233.6399999999</v>
      </c>
      <c r="E10" s="87">
        <f>645000+188323</f>
        <v>833323</v>
      </c>
      <c r="F10" s="87">
        <f>+D10+E10</f>
        <v>2071556.64</v>
      </c>
      <c r="G10" s="15">
        <f t="shared" si="0"/>
        <v>-2219392.3600000003</v>
      </c>
      <c r="H10" s="98"/>
    </row>
    <row r="11" spans="1:9" ht="15" customHeight="1">
      <c r="A11" s="3" t="s">
        <v>12</v>
      </c>
      <c r="B11" s="6" t="s">
        <v>13</v>
      </c>
      <c r="C11" s="30">
        <v>836568</v>
      </c>
      <c r="D11" s="44">
        <v>1081332.45</v>
      </c>
      <c r="E11" s="87">
        <f>354000+143533</f>
        <v>497533</v>
      </c>
      <c r="F11" s="87">
        <f>+D11+E11</f>
        <v>1578865.45</v>
      </c>
      <c r="G11" s="15">
        <f t="shared" si="0"/>
        <v>742297.45</v>
      </c>
      <c r="H11" s="98"/>
    </row>
    <row r="12" spans="1:9" ht="15" customHeight="1">
      <c r="A12" s="3" t="s">
        <v>14</v>
      </c>
      <c r="B12" s="6" t="s">
        <v>15</v>
      </c>
      <c r="C12" s="30">
        <v>3373760</v>
      </c>
      <c r="D12" s="44">
        <v>2414977.89</v>
      </c>
      <c r="E12" s="87">
        <f>840000+325497</f>
        <v>1165497</v>
      </c>
      <c r="F12" s="87">
        <f>+D12+E12</f>
        <v>3580474.89</v>
      </c>
      <c r="G12" s="15">
        <f>+F12-C12</f>
        <v>206714.89000000013</v>
      </c>
      <c r="H12" s="98"/>
    </row>
    <row r="13" spans="1:9" ht="15" customHeight="1">
      <c r="A13" s="3" t="s">
        <v>16</v>
      </c>
      <c r="B13" s="75" t="s">
        <v>17</v>
      </c>
      <c r="C13" s="30">
        <v>150800</v>
      </c>
      <c r="D13" s="44">
        <v>128400</v>
      </c>
      <c r="E13" s="87">
        <v>0</v>
      </c>
      <c r="F13" s="87">
        <f>+D13+E13</f>
        <v>128400</v>
      </c>
      <c r="G13" s="15">
        <f t="shared" si="0"/>
        <v>-22400</v>
      </c>
      <c r="H13" s="98"/>
    </row>
    <row r="14" spans="1:9" ht="15" customHeight="1">
      <c r="A14" s="58" t="s">
        <v>18</v>
      </c>
      <c r="B14" s="59" t="s">
        <v>19</v>
      </c>
      <c r="C14" s="60">
        <f>+C15+C19</f>
        <v>19826188</v>
      </c>
      <c r="D14" s="60">
        <f>+D15+D19</f>
        <v>15170490.460000001</v>
      </c>
      <c r="E14" s="60">
        <f>+E15+E19</f>
        <v>11196693</v>
      </c>
      <c r="F14" s="60">
        <f>+F15+F19</f>
        <v>26367183.460000001</v>
      </c>
      <c r="G14" s="60">
        <f t="shared" si="0"/>
        <v>6540995.4600000009</v>
      </c>
      <c r="H14" s="98"/>
    </row>
    <row r="15" spans="1:9" ht="15" customHeight="1">
      <c r="A15" s="2" t="s">
        <v>20</v>
      </c>
      <c r="B15" s="10" t="s">
        <v>21</v>
      </c>
      <c r="C15" s="5">
        <f>+C16</f>
        <v>19638148</v>
      </c>
      <c r="D15" s="5">
        <f>+D16</f>
        <v>15161041.210000001</v>
      </c>
      <c r="E15" s="39">
        <f>+E16</f>
        <v>11162749</v>
      </c>
      <c r="F15" s="39">
        <f>+F16</f>
        <v>26323790.210000001</v>
      </c>
      <c r="G15" s="5">
        <f t="shared" si="0"/>
        <v>6685642.2100000009</v>
      </c>
      <c r="H15" s="98"/>
    </row>
    <row r="16" spans="1:9" ht="15" customHeight="1">
      <c r="A16" s="2" t="s">
        <v>22</v>
      </c>
      <c r="B16" s="10" t="s">
        <v>21</v>
      </c>
      <c r="C16" s="5">
        <f>+C17+C18</f>
        <v>19638148</v>
      </c>
      <c r="D16" s="5">
        <f>+D17+D18</f>
        <v>15161041.210000001</v>
      </c>
      <c r="E16" s="39">
        <f>+E17+E18</f>
        <v>11162749</v>
      </c>
      <c r="F16" s="39">
        <f>+F17+F18</f>
        <v>26323790.210000001</v>
      </c>
      <c r="G16" s="5">
        <f t="shared" si="0"/>
        <v>6685642.2100000009</v>
      </c>
      <c r="H16" s="98"/>
    </row>
    <row r="17" spans="1:10" ht="15" customHeight="1">
      <c r="A17" s="3" t="s">
        <v>23</v>
      </c>
      <c r="B17" s="6" t="s">
        <v>24</v>
      </c>
      <c r="C17" s="30">
        <v>19338148</v>
      </c>
      <c r="D17" s="44">
        <v>15004212.880000001</v>
      </c>
      <c r="E17" s="87">
        <f>8694678+2369889</f>
        <v>11064567</v>
      </c>
      <c r="F17" s="87">
        <f>+D17+E17</f>
        <v>26068779.880000003</v>
      </c>
      <c r="G17" s="15">
        <f t="shared" si="0"/>
        <v>6730631.8800000027</v>
      </c>
      <c r="H17" s="98"/>
    </row>
    <row r="18" spans="1:10" ht="15" customHeight="1">
      <c r="A18" s="3" t="s">
        <v>25</v>
      </c>
      <c r="B18" s="6" t="s">
        <v>26</v>
      </c>
      <c r="C18" s="30">
        <v>300000</v>
      </c>
      <c r="D18" s="44">
        <v>156828.32999999999</v>
      </c>
      <c r="E18" s="87">
        <f>75000+23182</f>
        <v>98182</v>
      </c>
      <c r="F18" s="87">
        <f>+D18+E18</f>
        <v>255010.33</v>
      </c>
      <c r="G18" s="15">
        <f t="shared" si="0"/>
        <v>-44989.670000000013</v>
      </c>
      <c r="H18" s="98"/>
    </row>
    <row r="19" spans="1:10" ht="15" customHeight="1">
      <c r="A19" s="3" t="s">
        <v>27</v>
      </c>
      <c r="B19" s="3" t="s">
        <v>28</v>
      </c>
      <c r="C19" s="30">
        <v>188040</v>
      </c>
      <c r="D19" s="44">
        <v>9449.25</v>
      </c>
      <c r="E19" s="87">
        <f>30000+3944</f>
        <v>33944</v>
      </c>
      <c r="F19" s="87">
        <f>+D19+E19</f>
        <v>43393.25</v>
      </c>
      <c r="G19" s="15">
        <f t="shared" si="0"/>
        <v>-144646.75</v>
      </c>
      <c r="H19" s="98"/>
    </row>
    <row r="20" spans="1:10" ht="15" customHeight="1">
      <c r="A20" s="58" t="s">
        <v>29</v>
      </c>
      <c r="B20" s="59" t="s">
        <v>30</v>
      </c>
      <c r="C20" s="60">
        <f>+C21+C24+C28</f>
        <v>38927537</v>
      </c>
      <c r="D20" s="60">
        <f>+D21+D24+D28</f>
        <v>24248166.869999997</v>
      </c>
      <c r="E20" s="60">
        <f>+E21+E24+E28</f>
        <v>11845697.9</v>
      </c>
      <c r="F20" s="60">
        <f>+F21+F24+F28</f>
        <v>36093864.769999996</v>
      </c>
      <c r="G20" s="60">
        <f t="shared" si="0"/>
        <v>-2833672.2300000042</v>
      </c>
      <c r="H20" s="98"/>
    </row>
    <row r="21" spans="1:10" ht="15" customHeight="1">
      <c r="A21" s="2" t="s">
        <v>31</v>
      </c>
      <c r="B21" s="2" t="s">
        <v>32</v>
      </c>
      <c r="C21" s="5">
        <f>+C22+C23</f>
        <v>5823830</v>
      </c>
      <c r="D21" s="5">
        <f>+D22+D23</f>
        <v>2480059.4099999997</v>
      </c>
      <c r="E21" s="39">
        <f>+E22+E23</f>
        <v>1171143</v>
      </c>
      <c r="F21" s="39">
        <f>+F22+F23</f>
        <v>3651202.4099999997</v>
      </c>
      <c r="G21" s="5">
        <f t="shared" si="0"/>
        <v>-2172627.5900000003</v>
      </c>
      <c r="H21" s="98"/>
    </row>
    <row r="22" spans="1:10" ht="15" customHeight="1">
      <c r="A22" s="3" t="s">
        <v>33</v>
      </c>
      <c r="B22" s="6" t="s">
        <v>34</v>
      </c>
      <c r="C22" s="30">
        <v>2011776</v>
      </c>
      <c r="D22" s="41">
        <v>8625.4</v>
      </c>
      <c r="E22" s="87">
        <v>0</v>
      </c>
      <c r="F22" s="87">
        <f>+D22+E22</f>
        <v>8625.4</v>
      </c>
      <c r="G22" s="15">
        <f t="shared" si="0"/>
        <v>-2003150.6</v>
      </c>
      <c r="H22" s="98"/>
    </row>
    <row r="23" spans="1:10" ht="15" customHeight="1">
      <c r="A23" s="3" t="s">
        <v>35</v>
      </c>
      <c r="B23" s="6" t="s">
        <v>36</v>
      </c>
      <c r="C23" s="30">
        <v>3812054</v>
      </c>
      <c r="D23" s="41">
        <v>2471434.0099999998</v>
      </c>
      <c r="E23" s="87">
        <f>840000+331143</f>
        <v>1171143</v>
      </c>
      <c r="F23" s="87">
        <f>+D23+E23</f>
        <v>3642577.01</v>
      </c>
      <c r="G23" s="15">
        <f t="shared" si="0"/>
        <v>-169476.99000000022</v>
      </c>
      <c r="H23" s="98"/>
    </row>
    <row r="24" spans="1:10" ht="15" customHeight="1">
      <c r="A24" s="2" t="s">
        <v>37</v>
      </c>
      <c r="B24" s="58" t="s">
        <v>38</v>
      </c>
      <c r="C24" s="60">
        <f>SUBTOTAL(9,C25:C27)</f>
        <v>22327646</v>
      </c>
      <c r="D24" s="60">
        <f>SUBTOTAL(9,D25:D27)</f>
        <v>14282592.529999999</v>
      </c>
      <c r="E24" s="60">
        <f>SUBTOTAL(9,E25:E27)</f>
        <v>6722803.9000000004</v>
      </c>
      <c r="F24" s="60">
        <f>SUBTOTAL(9,F25:F27)</f>
        <v>21005396.43</v>
      </c>
      <c r="G24" s="60">
        <f t="shared" si="0"/>
        <v>-1322249.5700000003</v>
      </c>
      <c r="H24" s="98"/>
    </row>
    <row r="25" spans="1:10" ht="15" customHeight="1">
      <c r="A25" s="3" t="s">
        <v>39</v>
      </c>
      <c r="B25" s="6" t="s">
        <v>40</v>
      </c>
      <c r="C25" s="30">
        <v>2896035</v>
      </c>
      <c r="D25" s="41">
        <v>1814171.99</v>
      </c>
      <c r="E25" s="87">
        <f>613168+7389.01+243472</f>
        <v>864029.01</v>
      </c>
      <c r="F25" s="87">
        <f>+D25+E25</f>
        <v>2678201</v>
      </c>
      <c r="G25" s="15">
        <f t="shared" si="0"/>
        <v>-217834</v>
      </c>
      <c r="H25" s="98"/>
    </row>
    <row r="26" spans="1:10" ht="15" customHeight="1">
      <c r="A26" s="3" t="s">
        <v>41</v>
      </c>
      <c r="B26" s="6" t="s">
        <v>42</v>
      </c>
      <c r="C26" s="30">
        <v>658085</v>
      </c>
      <c r="D26" s="41">
        <v>417255.43</v>
      </c>
      <c r="E26" s="87">
        <f>141000+55825</f>
        <v>196825</v>
      </c>
      <c r="F26" s="87">
        <f>+D26+E26</f>
        <v>614080.42999999993</v>
      </c>
      <c r="G26" s="15">
        <f t="shared" si="0"/>
        <v>-44004.570000000065</v>
      </c>
      <c r="H26" s="98"/>
    </row>
    <row r="27" spans="1:10" ht="15" customHeight="1">
      <c r="A27" s="3" t="s">
        <v>43</v>
      </c>
      <c r="B27" s="6" t="s">
        <v>44</v>
      </c>
      <c r="C27" s="30">
        <v>18773526</v>
      </c>
      <c r="D27" s="41">
        <v>12051165.109999999</v>
      </c>
      <c r="E27" s="87">
        <f>4050000+1666.89+1610283</f>
        <v>5661949.8900000006</v>
      </c>
      <c r="F27" s="87">
        <f>+D27+E27</f>
        <v>17713115</v>
      </c>
      <c r="G27" s="15">
        <f t="shared" si="0"/>
        <v>-1060411</v>
      </c>
      <c r="H27" s="98"/>
    </row>
    <row r="28" spans="1:10" ht="15" customHeight="1">
      <c r="A28" s="58" t="s">
        <v>45</v>
      </c>
      <c r="B28" s="59" t="s">
        <v>46</v>
      </c>
      <c r="C28" s="60">
        <f>+C29+C30</f>
        <v>10776061</v>
      </c>
      <c r="D28" s="60">
        <f>+D29+D30</f>
        <v>7485514.9299999997</v>
      </c>
      <c r="E28" s="60">
        <f>+E29+E30</f>
        <v>3951751</v>
      </c>
      <c r="F28" s="60">
        <f>+F29+F30</f>
        <v>11437265.93</v>
      </c>
      <c r="G28" s="60">
        <f t="shared" si="0"/>
        <v>661204.9299999997</v>
      </c>
      <c r="H28" s="98"/>
    </row>
    <row r="29" spans="1:10" ht="15" customHeight="1">
      <c r="A29" s="3" t="s">
        <v>47</v>
      </c>
      <c r="B29" s="6" t="s">
        <v>48</v>
      </c>
      <c r="C29" s="30">
        <v>9000000</v>
      </c>
      <c r="D29" s="41">
        <v>6534750.4100000001</v>
      </c>
      <c r="E29" s="87">
        <f>2310000+884475</f>
        <v>3194475</v>
      </c>
      <c r="F29" s="87">
        <f>+D29+E29</f>
        <v>9729225.4100000001</v>
      </c>
      <c r="G29" s="15">
        <f t="shared" si="0"/>
        <v>729225.41000000015</v>
      </c>
      <c r="H29" s="98"/>
    </row>
    <row r="30" spans="1:10" ht="15" customHeight="1">
      <c r="A30" s="3" t="s">
        <v>49</v>
      </c>
      <c r="B30" s="6" t="s">
        <v>50</v>
      </c>
      <c r="C30" s="30">
        <v>1776061</v>
      </c>
      <c r="D30" s="41">
        <v>950764.52</v>
      </c>
      <c r="E30" s="87">
        <f>600000+2000+155276</f>
        <v>757276</v>
      </c>
      <c r="F30" s="87">
        <f>+D30+E30</f>
        <v>1708040.52</v>
      </c>
      <c r="G30" s="15">
        <f t="shared" si="0"/>
        <v>-68020.479999999981</v>
      </c>
      <c r="H30" s="98"/>
      <c r="J30" s="30"/>
    </row>
    <row r="31" spans="1:10" ht="15" customHeight="1">
      <c r="A31" s="58" t="s">
        <v>51</v>
      </c>
      <c r="B31" s="59" t="s">
        <v>52</v>
      </c>
      <c r="C31" s="60">
        <f>+C32</f>
        <v>2694000</v>
      </c>
      <c r="D31" s="60">
        <f>+D32</f>
        <v>49500</v>
      </c>
      <c r="E31" s="60">
        <f>+E32</f>
        <v>1933000</v>
      </c>
      <c r="F31" s="60">
        <f>+F32</f>
        <v>1982500</v>
      </c>
      <c r="G31" s="60">
        <f t="shared" si="0"/>
        <v>-711500</v>
      </c>
      <c r="H31" s="98"/>
    </row>
    <row r="32" spans="1:10" ht="15" customHeight="1">
      <c r="A32" s="3" t="s">
        <v>53</v>
      </c>
      <c r="B32" s="81" t="s">
        <v>54</v>
      </c>
      <c r="C32" s="30">
        <v>2694000</v>
      </c>
      <c r="D32" s="41">
        <v>49500</v>
      </c>
      <c r="E32" s="87">
        <f>16500+1900000+16500</f>
        <v>1933000</v>
      </c>
      <c r="F32" s="87">
        <f>+D32+E32</f>
        <v>1982500</v>
      </c>
      <c r="G32" s="15">
        <f t="shared" si="0"/>
        <v>-711500</v>
      </c>
      <c r="H32" s="98"/>
      <c r="J32" s="1">
        <f>+I32*10</f>
        <v>0</v>
      </c>
    </row>
    <row r="33" spans="1:9" ht="15" customHeight="1">
      <c r="A33" s="58" t="s">
        <v>55</v>
      </c>
      <c r="B33" s="59" t="s">
        <v>56</v>
      </c>
      <c r="C33" s="60">
        <f>+C34+C35+C39+C63+C64</f>
        <v>92445069</v>
      </c>
      <c r="D33" s="60">
        <f>+D34+D35+D39+D63+D64</f>
        <v>59045989.410000004</v>
      </c>
      <c r="E33" s="60">
        <f>+E34+E35+E39+E63+E64</f>
        <v>28544469.550000001</v>
      </c>
      <c r="F33" s="60">
        <f>+F34+F35+F39+F63+F64</f>
        <v>87590458.960000008</v>
      </c>
      <c r="G33" s="60">
        <f t="shared" si="0"/>
        <v>-4854610.0399999917</v>
      </c>
      <c r="H33" s="98"/>
    </row>
    <row r="34" spans="1:9" ht="15" customHeight="1">
      <c r="A34" s="3" t="s">
        <v>57</v>
      </c>
      <c r="B34" s="3" t="s">
        <v>58</v>
      </c>
      <c r="C34" s="37">
        <v>921600</v>
      </c>
      <c r="D34" s="41">
        <v>614720</v>
      </c>
      <c r="E34" s="87">
        <f>207000+82172+90389</f>
        <v>379561</v>
      </c>
      <c r="F34" s="87">
        <f>+D34+E34</f>
        <v>994281</v>
      </c>
      <c r="G34" s="15">
        <f t="shared" si="0"/>
        <v>72681</v>
      </c>
      <c r="H34" s="98"/>
    </row>
    <row r="35" spans="1:9" ht="15" customHeight="1">
      <c r="A35" s="2" t="s">
        <v>59</v>
      </c>
      <c r="B35" s="10" t="s">
        <v>60</v>
      </c>
      <c r="C35" s="5">
        <f>+C36+C37+C38</f>
        <v>15353273</v>
      </c>
      <c r="D35" s="5">
        <f>+D36+D37+D38</f>
        <v>8594014.4800000004</v>
      </c>
      <c r="E35" s="39">
        <f>+E36+E37+E38</f>
        <v>4005954</v>
      </c>
      <c r="F35" s="39">
        <f>+F36+F37+F38</f>
        <v>12599968.48</v>
      </c>
      <c r="G35" s="5">
        <f t="shared" si="0"/>
        <v>-2753304.5199999996</v>
      </c>
      <c r="H35" s="98"/>
    </row>
    <row r="36" spans="1:9" ht="15" customHeight="1">
      <c r="A36" s="3" t="s">
        <v>61</v>
      </c>
      <c r="B36" s="32" t="s">
        <v>62</v>
      </c>
      <c r="C36" s="37">
        <v>250000</v>
      </c>
      <c r="D36" s="41">
        <v>454432.33</v>
      </c>
      <c r="E36" s="87">
        <f>151500+60596</f>
        <v>212096</v>
      </c>
      <c r="F36" s="87">
        <f>+D36+E36</f>
        <v>666528.33000000007</v>
      </c>
      <c r="G36" s="15">
        <f t="shared" si="0"/>
        <v>416528.33000000007</v>
      </c>
      <c r="H36" s="98"/>
    </row>
    <row r="37" spans="1:9" ht="15" customHeight="1">
      <c r="A37" s="3" t="s">
        <v>63</v>
      </c>
      <c r="B37" s="6" t="s">
        <v>64</v>
      </c>
      <c r="C37" s="37">
        <v>432000</v>
      </c>
      <c r="D37" s="41">
        <v>0</v>
      </c>
      <c r="E37" s="87">
        <f t="shared" ref="E37" si="1">D37/8*4</f>
        <v>0</v>
      </c>
      <c r="F37" s="87">
        <f>+D37+E37</f>
        <v>0</v>
      </c>
      <c r="G37" s="15">
        <f t="shared" si="0"/>
        <v>-432000</v>
      </c>
      <c r="H37" s="98"/>
    </row>
    <row r="38" spans="1:9" ht="15" customHeight="1">
      <c r="A38" s="3" t="s">
        <v>65</v>
      </c>
      <c r="B38" s="6" t="s">
        <v>66</v>
      </c>
      <c r="C38" s="37">
        <v>14671273</v>
      </c>
      <c r="D38" s="41">
        <v>8139582.1500000004</v>
      </c>
      <c r="E38" s="87">
        <f>2709000+1084858</f>
        <v>3793858</v>
      </c>
      <c r="F38" s="87">
        <f>+D38+E38</f>
        <v>11933440.15</v>
      </c>
      <c r="G38" s="15">
        <f t="shared" si="0"/>
        <v>-2737832.8499999996</v>
      </c>
      <c r="H38" s="98"/>
    </row>
    <row r="39" spans="1:9" s="19" customFormat="1" ht="15" customHeight="1">
      <c r="A39" s="16" t="s">
        <v>67</v>
      </c>
      <c r="B39" s="17" t="s">
        <v>68</v>
      </c>
      <c r="C39" s="18">
        <f>+C40+C47</f>
        <v>75554707</v>
      </c>
      <c r="D39" s="18">
        <f>+D40+D47</f>
        <v>49556053.140000001</v>
      </c>
      <c r="E39" s="39">
        <f>+E40+E47</f>
        <v>24027434.550000001</v>
      </c>
      <c r="F39" s="39">
        <f>+F40+F47</f>
        <v>73583487.689999998</v>
      </c>
      <c r="G39" s="18">
        <f t="shared" si="0"/>
        <v>-1971219.3100000024</v>
      </c>
      <c r="H39" s="98"/>
      <c r="I39"/>
    </row>
    <row r="40" spans="1:9" ht="15" customHeight="1">
      <c r="A40" s="2" t="s">
        <v>69</v>
      </c>
      <c r="B40" s="10" t="s">
        <v>70</v>
      </c>
      <c r="C40" s="5">
        <f>SUBTOTAL(9,C41:C46)</f>
        <v>27801107</v>
      </c>
      <c r="D40" s="5">
        <f>SUBTOTAL(9,D41:D46)</f>
        <v>17473998.41</v>
      </c>
      <c r="E40" s="39">
        <f>SUBTOTAL(9,E41:E46)</f>
        <v>10548628</v>
      </c>
      <c r="F40" s="39">
        <f>SUBTOTAL(9,F41:F46)</f>
        <v>28022626.41</v>
      </c>
      <c r="G40" s="5">
        <f t="shared" si="0"/>
        <v>221519.41000000015</v>
      </c>
      <c r="H40" s="98"/>
    </row>
    <row r="41" spans="1:9" ht="15" customHeight="1">
      <c r="A41" s="3" t="s">
        <v>71</v>
      </c>
      <c r="B41" s="6" t="s">
        <v>72</v>
      </c>
      <c r="C41" s="37">
        <v>144000</v>
      </c>
      <c r="D41" s="44">
        <v>108000</v>
      </c>
      <c r="E41" s="87">
        <f>36000+14400</f>
        <v>50400</v>
      </c>
      <c r="F41" s="87">
        <f t="shared" ref="F41:F46" si="2">+D41+E41</f>
        <v>158400</v>
      </c>
      <c r="G41" s="15">
        <f t="shared" si="0"/>
        <v>14400</v>
      </c>
      <c r="H41" s="98"/>
    </row>
    <row r="42" spans="1:9" ht="15" customHeight="1">
      <c r="A42" s="3" t="s">
        <v>73</v>
      </c>
      <c r="B42" s="6" t="s">
        <v>74</v>
      </c>
      <c r="C42" s="37">
        <v>8688785</v>
      </c>
      <c r="D42" s="44">
        <v>5666554.5199999996</v>
      </c>
      <c r="E42" s="87">
        <f>1890000+755655</f>
        <v>2645655</v>
      </c>
      <c r="F42" s="87">
        <f t="shared" si="2"/>
        <v>8312209.5199999996</v>
      </c>
      <c r="G42" s="15">
        <f t="shared" si="0"/>
        <v>-376575.48000000045</v>
      </c>
      <c r="H42" s="98"/>
    </row>
    <row r="43" spans="1:9" ht="15" customHeight="1">
      <c r="A43" s="3" t="s">
        <v>75</v>
      </c>
      <c r="B43" s="6" t="s">
        <v>76</v>
      </c>
      <c r="C43" s="37">
        <v>549000</v>
      </c>
      <c r="D43" s="44">
        <v>268680</v>
      </c>
      <c r="E43" s="87">
        <f>90000+35868</f>
        <v>125868</v>
      </c>
      <c r="F43" s="87">
        <f t="shared" si="2"/>
        <v>394548</v>
      </c>
      <c r="G43" s="15">
        <f t="shared" si="0"/>
        <v>-154452</v>
      </c>
      <c r="H43" s="98"/>
    </row>
    <row r="44" spans="1:9" ht="15" customHeight="1">
      <c r="A44" s="3" t="s">
        <v>77</v>
      </c>
      <c r="B44" s="6" t="s">
        <v>78</v>
      </c>
      <c r="C44" s="37">
        <v>1403002</v>
      </c>
      <c r="D44" s="41">
        <v>877517.04</v>
      </c>
      <c r="E44" s="87">
        <f>300000+117751</f>
        <v>417751</v>
      </c>
      <c r="F44" s="87">
        <f t="shared" si="2"/>
        <v>1295268.04</v>
      </c>
      <c r="G44" s="15">
        <f t="shared" si="0"/>
        <v>-107733.95999999996</v>
      </c>
      <c r="H44" s="98"/>
    </row>
    <row r="45" spans="1:9" ht="15" customHeight="1">
      <c r="A45" s="3" t="s">
        <v>79</v>
      </c>
      <c r="B45" s="6" t="s">
        <v>80</v>
      </c>
      <c r="C45" s="37">
        <v>16320</v>
      </c>
      <c r="D45" s="44">
        <v>12240</v>
      </c>
      <c r="E45" s="87">
        <f>4080+1632</f>
        <v>5712</v>
      </c>
      <c r="F45" s="87">
        <f t="shared" si="2"/>
        <v>17952</v>
      </c>
      <c r="G45" s="15">
        <f t="shared" si="0"/>
        <v>1632</v>
      </c>
      <c r="H45" s="98"/>
    </row>
    <row r="46" spans="1:9" ht="15" customHeight="1">
      <c r="A46" s="3" t="s">
        <v>81</v>
      </c>
      <c r="B46" s="3" t="s">
        <v>82</v>
      </c>
      <c r="C46" s="37">
        <v>17000000</v>
      </c>
      <c r="D46" s="44">
        <v>10541006.85</v>
      </c>
      <c r="E46" s="87">
        <f>5680000+1038+1622204</f>
        <v>7303242</v>
      </c>
      <c r="F46" s="87">
        <f t="shared" si="2"/>
        <v>17844248.850000001</v>
      </c>
      <c r="G46" s="15">
        <f t="shared" si="0"/>
        <v>844248.85000000149</v>
      </c>
      <c r="H46" s="98"/>
    </row>
    <row r="47" spans="1:9" ht="15" customHeight="1">
      <c r="A47" s="70" t="s">
        <v>83</v>
      </c>
      <c r="B47" s="71" t="s">
        <v>84</v>
      </c>
      <c r="C47" s="72">
        <f>SUBTOTAL(9,C48:C62)</f>
        <v>47753600</v>
      </c>
      <c r="D47" s="72">
        <f>SUBTOTAL(9,D48:D62)</f>
        <v>32082054.729999997</v>
      </c>
      <c r="E47" s="72">
        <f>SUBTOTAL(9,E48:E62)</f>
        <v>13478806.550000001</v>
      </c>
      <c r="F47" s="72">
        <f>SUBTOTAL(9,F48:F62)</f>
        <v>45560861.280000001</v>
      </c>
      <c r="G47" s="72">
        <f t="shared" si="0"/>
        <v>-2192738.7199999988</v>
      </c>
      <c r="H47" s="98"/>
    </row>
    <row r="48" spans="1:9" ht="15" customHeight="1">
      <c r="A48" s="3" t="s">
        <v>85</v>
      </c>
      <c r="B48" s="6" t="s">
        <v>86</v>
      </c>
      <c r="C48" s="37">
        <v>10800</v>
      </c>
      <c r="D48" s="41">
        <v>6300</v>
      </c>
      <c r="E48" s="87">
        <v>0</v>
      </c>
      <c r="F48" s="87">
        <f t="shared" ref="F48:F63" si="3">+D48+E48</f>
        <v>6300</v>
      </c>
      <c r="G48" s="15">
        <f t="shared" si="0"/>
        <v>-4500</v>
      </c>
      <c r="H48" s="98"/>
    </row>
    <row r="49" spans="1:11" ht="15" customHeight="1">
      <c r="A49" s="3" t="s">
        <v>87</v>
      </c>
      <c r="B49" s="6" t="s">
        <v>88</v>
      </c>
      <c r="C49" s="37">
        <v>1422000</v>
      </c>
      <c r="D49" s="41">
        <v>864337.5</v>
      </c>
      <c r="E49" s="87">
        <f>291000+115533</f>
        <v>406533</v>
      </c>
      <c r="F49" s="87">
        <f t="shared" si="3"/>
        <v>1270870.5</v>
      </c>
      <c r="G49" s="15">
        <f t="shared" si="0"/>
        <v>-151129.5</v>
      </c>
      <c r="H49" s="98"/>
    </row>
    <row r="50" spans="1:11" ht="15" customHeight="1">
      <c r="A50" s="3" t="s">
        <v>89</v>
      </c>
      <c r="B50" s="6" t="s">
        <v>90</v>
      </c>
      <c r="C50" s="37">
        <v>1327200</v>
      </c>
      <c r="D50" s="41">
        <v>904607.34</v>
      </c>
      <c r="E50" s="87">
        <f>199200-33807.34+107000</f>
        <v>272392.66000000003</v>
      </c>
      <c r="F50" s="87">
        <f t="shared" si="3"/>
        <v>1177000</v>
      </c>
      <c r="G50" s="15">
        <f t="shared" si="0"/>
        <v>-150200</v>
      </c>
      <c r="H50" s="98"/>
    </row>
    <row r="51" spans="1:11" ht="15" customHeight="1">
      <c r="A51" s="3" t="s">
        <v>91</v>
      </c>
      <c r="B51" s="6" t="s">
        <v>92</v>
      </c>
      <c r="C51" s="37">
        <v>9600</v>
      </c>
      <c r="D51" s="41">
        <v>800</v>
      </c>
      <c r="E51" s="87">
        <f>800+160</f>
        <v>960</v>
      </c>
      <c r="F51" s="87">
        <f t="shared" si="3"/>
        <v>1760</v>
      </c>
      <c r="G51" s="15">
        <f t="shared" si="0"/>
        <v>-7840</v>
      </c>
      <c r="H51" s="98"/>
    </row>
    <row r="52" spans="1:11" ht="15" customHeight="1">
      <c r="A52" s="3" t="s">
        <v>93</v>
      </c>
      <c r="B52" s="6" t="s">
        <v>94</v>
      </c>
      <c r="C52" s="37">
        <v>462500</v>
      </c>
      <c r="D52" s="41">
        <v>419629.52</v>
      </c>
      <c r="E52" s="87">
        <f>140000+55962</f>
        <v>195962</v>
      </c>
      <c r="F52" s="87">
        <f t="shared" si="3"/>
        <v>615591.52</v>
      </c>
      <c r="G52" s="15">
        <f t="shared" si="0"/>
        <v>153091.52000000002</v>
      </c>
      <c r="H52" s="98"/>
    </row>
    <row r="53" spans="1:11" ht="15" customHeight="1">
      <c r="A53" s="3" t="s">
        <v>95</v>
      </c>
      <c r="B53" s="6" t="s">
        <v>96</v>
      </c>
      <c r="C53" s="37">
        <v>10000</v>
      </c>
      <c r="D53" s="41">
        <v>10000</v>
      </c>
      <c r="E53" s="87">
        <f>3333.33+1333</f>
        <v>4666.33</v>
      </c>
      <c r="F53" s="87">
        <f t="shared" si="3"/>
        <v>14666.33</v>
      </c>
      <c r="G53" s="15">
        <f t="shared" si="0"/>
        <v>4666.33</v>
      </c>
      <c r="H53" s="98"/>
    </row>
    <row r="54" spans="1:11" ht="15" customHeight="1">
      <c r="A54" s="3" t="s">
        <v>97</v>
      </c>
      <c r="B54" s="6" t="s">
        <v>98</v>
      </c>
      <c r="C54" s="37">
        <v>16000000</v>
      </c>
      <c r="D54" s="41">
        <v>9662212.8100000005</v>
      </c>
      <c r="E54" s="87">
        <v>4159334.7</v>
      </c>
      <c r="F54" s="87">
        <f t="shared" si="3"/>
        <v>13821547.510000002</v>
      </c>
      <c r="G54" s="15">
        <f t="shared" si="0"/>
        <v>-2178452.4899999984</v>
      </c>
      <c r="H54" s="98"/>
    </row>
    <row r="55" spans="1:11" ht="15" customHeight="1">
      <c r="A55" s="38" t="s">
        <v>654</v>
      </c>
      <c r="B55" s="38" t="s">
        <v>653</v>
      </c>
      <c r="C55" s="37">
        <v>0</v>
      </c>
      <c r="D55" s="41">
        <v>116344.61</v>
      </c>
      <c r="E55" s="87">
        <v>17500</v>
      </c>
      <c r="F55" s="87">
        <f>+D55+E55</f>
        <v>133844.60999999999</v>
      </c>
      <c r="G55" s="15">
        <f t="shared" si="0"/>
        <v>133844.60999999999</v>
      </c>
      <c r="H55" s="98"/>
    </row>
    <row r="56" spans="1:11" ht="15" customHeight="1">
      <c r="A56" s="81" t="s">
        <v>99</v>
      </c>
      <c r="B56" s="83" t="s">
        <v>100</v>
      </c>
      <c r="C56" s="37">
        <v>284000</v>
      </c>
      <c r="D56" s="41">
        <v>290968.26</v>
      </c>
      <c r="E56" s="87">
        <v>120141.9</v>
      </c>
      <c r="F56" s="87">
        <f t="shared" si="3"/>
        <v>411110.16000000003</v>
      </c>
      <c r="G56" s="15">
        <f t="shared" si="0"/>
        <v>127110.16000000003</v>
      </c>
      <c r="H56" s="98"/>
    </row>
    <row r="57" spans="1:11" ht="15" customHeight="1">
      <c r="A57" s="81" t="s">
        <v>101</v>
      </c>
      <c r="B57" s="83" t="s">
        <v>102</v>
      </c>
      <c r="C57" s="37">
        <v>23500000</v>
      </c>
      <c r="D57" s="41">
        <v>16691925.359999999</v>
      </c>
      <c r="E57" s="87">
        <v>5864849.0999999996</v>
      </c>
      <c r="F57" s="87">
        <f t="shared" si="3"/>
        <v>22556774.460000001</v>
      </c>
      <c r="G57" s="15">
        <f t="shared" si="0"/>
        <v>-943225.53999999911</v>
      </c>
      <c r="H57" s="98"/>
      <c r="I57" s="98"/>
      <c r="J57" s="101"/>
      <c r="K57" s="101"/>
    </row>
    <row r="58" spans="1:11" ht="15" customHeight="1">
      <c r="A58" s="81" t="s">
        <v>103</v>
      </c>
      <c r="B58" s="83" t="s">
        <v>104</v>
      </c>
      <c r="C58" s="37">
        <v>2000000</v>
      </c>
      <c r="D58" s="41">
        <v>686196.06</v>
      </c>
      <c r="E58" s="87">
        <f>657430.36+400000+400000</f>
        <v>1457430.3599999999</v>
      </c>
      <c r="F58" s="87">
        <f t="shared" si="3"/>
        <v>2143626.42</v>
      </c>
      <c r="G58" s="15">
        <f t="shared" si="0"/>
        <v>143626.41999999993</v>
      </c>
      <c r="H58" s="98"/>
    </row>
    <row r="59" spans="1:11" ht="15" customHeight="1">
      <c r="A59" s="38" t="s">
        <v>656</v>
      </c>
      <c r="B59" s="38" t="s">
        <v>655</v>
      </c>
      <c r="C59" s="37">
        <v>0</v>
      </c>
      <c r="D59" s="41">
        <v>3883.62</v>
      </c>
      <c r="E59" s="87">
        <f>1500+538</f>
        <v>2038</v>
      </c>
      <c r="F59" s="87">
        <f t="shared" si="3"/>
        <v>5921.62</v>
      </c>
      <c r="G59" s="15">
        <f t="shared" si="0"/>
        <v>5921.62</v>
      </c>
      <c r="H59" s="98"/>
    </row>
    <row r="60" spans="1:11" ht="15" customHeight="1">
      <c r="A60" s="3" t="s">
        <v>105</v>
      </c>
      <c r="B60" s="6" t="s">
        <v>106</v>
      </c>
      <c r="C60" s="37">
        <v>189000</v>
      </c>
      <c r="D60" s="41">
        <v>0</v>
      </c>
      <c r="E60" s="87">
        <v>125000</v>
      </c>
      <c r="F60" s="87">
        <f t="shared" si="3"/>
        <v>125000</v>
      </c>
      <c r="G60" s="15">
        <f t="shared" si="0"/>
        <v>-64000</v>
      </c>
      <c r="H60" s="98"/>
      <c r="K60" s="15"/>
    </row>
    <row r="61" spans="1:11" ht="15" customHeight="1">
      <c r="A61" s="3" t="s">
        <v>107</v>
      </c>
      <c r="B61" s="6" t="s">
        <v>108</v>
      </c>
      <c r="C61" s="37">
        <v>2530000</v>
      </c>
      <c r="D61" s="41">
        <v>2424849.65</v>
      </c>
      <c r="E61" s="87">
        <v>851998.5</v>
      </c>
      <c r="F61" s="87">
        <f t="shared" si="3"/>
        <v>3276848.15</v>
      </c>
      <c r="G61" s="15">
        <f t="shared" si="0"/>
        <v>746848.14999999991</v>
      </c>
      <c r="H61" s="98"/>
    </row>
    <row r="62" spans="1:11" ht="15" customHeight="1">
      <c r="A62" s="3" t="s">
        <v>109</v>
      </c>
      <c r="B62" s="6" t="s">
        <v>110</v>
      </c>
      <c r="C62" s="37">
        <v>8500</v>
      </c>
      <c r="D62" s="41">
        <v>0</v>
      </c>
      <c r="E62" s="87">
        <f t="shared" ref="E62" si="4">+D62/8*4</f>
        <v>0</v>
      </c>
      <c r="F62" s="87">
        <f t="shared" si="3"/>
        <v>0</v>
      </c>
      <c r="G62" s="15">
        <f t="shared" si="0"/>
        <v>-8500</v>
      </c>
      <c r="H62" s="98"/>
    </row>
    <row r="63" spans="1:11" s="19" customFormat="1" ht="15" customHeight="1">
      <c r="A63" s="16" t="s">
        <v>111</v>
      </c>
      <c r="B63" s="16" t="s">
        <v>112</v>
      </c>
      <c r="C63" s="37">
        <v>180000</v>
      </c>
      <c r="D63" s="37">
        <v>0</v>
      </c>
      <c r="E63" s="39">
        <v>0</v>
      </c>
      <c r="F63" s="87">
        <f t="shared" si="3"/>
        <v>0</v>
      </c>
      <c r="G63" s="18">
        <f t="shared" si="0"/>
        <v>-180000</v>
      </c>
      <c r="H63" s="98"/>
      <c r="I63"/>
    </row>
    <row r="64" spans="1:11" s="19" customFormat="1" ht="15" customHeight="1">
      <c r="A64" s="16" t="s">
        <v>113</v>
      </c>
      <c r="B64" s="16" t="s">
        <v>114</v>
      </c>
      <c r="C64" s="18">
        <f>+C65</f>
        <v>435489</v>
      </c>
      <c r="D64" s="18">
        <f>+D65</f>
        <v>281201.78999999998</v>
      </c>
      <c r="E64" s="39">
        <f>+E65</f>
        <v>131520</v>
      </c>
      <c r="F64" s="39">
        <f>+F65</f>
        <v>412721.79</v>
      </c>
      <c r="G64" s="18">
        <f t="shared" si="0"/>
        <v>-22767.210000000021</v>
      </c>
      <c r="H64" s="98"/>
      <c r="I64"/>
    </row>
    <row r="65" spans="1:9" ht="15" customHeight="1">
      <c r="A65" s="3" t="s">
        <v>115</v>
      </c>
      <c r="B65" s="6" t="s">
        <v>116</v>
      </c>
      <c r="C65" s="37">
        <v>435489</v>
      </c>
      <c r="D65" s="41">
        <v>281201.78999999998</v>
      </c>
      <c r="E65" s="87">
        <f>94000+37520</f>
        <v>131520</v>
      </c>
      <c r="F65" s="87">
        <f>+D65+E65</f>
        <v>412721.79</v>
      </c>
      <c r="G65" s="15">
        <f t="shared" si="0"/>
        <v>-22767.210000000021</v>
      </c>
      <c r="H65" s="98"/>
    </row>
    <row r="66" spans="1:9" s="22" customFormat="1" ht="19.5" customHeight="1">
      <c r="A66" s="55" t="s">
        <v>117</v>
      </c>
      <c r="B66" s="56" t="s">
        <v>118</v>
      </c>
      <c r="C66" s="57">
        <f>+C67+C74+C77+C81+C91+C101+C106+C111</f>
        <v>53734953</v>
      </c>
      <c r="D66" s="57">
        <f>+D67+D74+D77+D81+D91+D101+D106+D111</f>
        <v>22187169.559999999</v>
      </c>
      <c r="E66" s="57">
        <f>+E67+E74+E77+E81+E91+E101+E106+E111</f>
        <v>14434541.100000001</v>
      </c>
      <c r="F66" s="57">
        <f>+F67+F74+F77+F81+F91+F101+F106+F111</f>
        <v>36621710.660000004</v>
      </c>
      <c r="G66" s="57">
        <f t="shared" si="0"/>
        <v>-17113242.339999996</v>
      </c>
      <c r="H66"/>
      <c r="I66"/>
    </row>
    <row r="67" spans="1:9" ht="15" customHeight="1">
      <c r="A67" s="58" t="s">
        <v>119</v>
      </c>
      <c r="B67" s="58" t="s">
        <v>120</v>
      </c>
      <c r="C67" s="60">
        <f>+C68+C70+C72+C73</f>
        <v>3270000</v>
      </c>
      <c r="D67" s="60">
        <f>+D68+D70+D72+D73</f>
        <v>1705290.15</v>
      </c>
      <c r="E67" s="60">
        <f>+E68+E70+E72+E73</f>
        <v>1050479</v>
      </c>
      <c r="F67" s="60">
        <f>+F68+F70+F72+F73</f>
        <v>2755769.15</v>
      </c>
      <c r="G67" s="60">
        <f t="shared" si="0"/>
        <v>-514230.85000000009</v>
      </c>
    </row>
    <row r="68" spans="1:9" s="20" customFormat="1" ht="15" customHeight="1">
      <c r="A68" s="2" t="s">
        <v>121</v>
      </c>
      <c r="B68" s="2" t="s">
        <v>122</v>
      </c>
      <c r="C68" s="5">
        <f>+C69</f>
        <v>1500000</v>
      </c>
      <c r="D68" s="5">
        <f>+D69</f>
        <v>767624.17</v>
      </c>
      <c r="E68" s="39">
        <f>+E69</f>
        <v>467991</v>
      </c>
      <c r="F68" s="39">
        <f>+F69</f>
        <v>1235615.17</v>
      </c>
      <c r="G68" s="5">
        <f t="shared" si="0"/>
        <v>-264384.83000000007</v>
      </c>
      <c r="H68"/>
      <c r="I68"/>
    </row>
    <row r="69" spans="1:9" ht="15" customHeight="1">
      <c r="A69" s="3" t="s">
        <v>123</v>
      </c>
      <c r="B69" s="6" t="s">
        <v>124</v>
      </c>
      <c r="C69" s="37">
        <v>1500000</v>
      </c>
      <c r="D69" s="44">
        <v>767624.17</v>
      </c>
      <c r="E69" s="87">
        <v>467991</v>
      </c>
      <c r="F69" s="87">
        <f>+D69+E69</f>
        <v>1235615.17</v>
      </c>
      <c r="G69" s="15">
        <f t="shared" si="0"/>
        <v>-264384.83000000007</v>
      </c>
      <c r="H69" s="33"/>
    </row>
    <row r="70" spans="1:9" s="20" customFormat="1" ht="15" customHeight="1">
      <c r="A70" s="2" t="s">
        <v>125</v>
      </c>
      <c r="B70" s="2" t="s">
        <v>126</v>
      </c>
      <c r="C70" s="5">
        <f>+C71</f>
        <v>700000</v>
      </c>
      <c r="D70" s="5">
        <f>+D71</f>
        <v>53045.85</v>
      </c>
      <c r="E70" s="39">
        <f>+E71</f>
        <v>173303</v>
      </c>
      <c r="F70" s="39">
        <f>+F71</f>
        <v>226348.85</v>
      </c>
      <c r="G70" s="5">
        <f t="shared" si="0"/>
        <v>-473651.15</v>
      </c>
      <c r="H70" s="5"/>
      <c r="I70"/>
    </row>
    <row r="71" spans="1:9" ht="15" customHeight="1">
      <c r="A71" s="3" t="s">
        <v>127</v>
      </c>
      <c r="B71" s="3" t="s">
        <v>128</v>
      </c>
      <c r="C71" s="37">
        <v>700000</v>
      </c>
      <c r="D71" s="44">
        <v>53045.85</v>
      </c>
      <c r="E71" s="34">
        <v>173303</v>
      </c>
      <c r="F71" s="87">
        <f>+D71+E71</f>
        <v>226348.85</v>
      </c>
      <c r="G71" s="15">
        <f t="shared" si="0"/>
        <v>-473651.15</v>
      </c>
      <c r="H71" s="33"/>
    </row>
    <row r="72" spans="1:9" ht="15" customHeight="1">
      <c r="A72" s="3" t="s">
        <v>129</v>
      </c>
      <c r="B72" s="6" t="s">
        <v>130</v>
      </c>
      <c r="C72" s="37">
        <v>1000000</v>
      </c>
      <c r="D72" s="44">
        <v>612903.43999999994</v>
      </c>
      <c r="E72" s="87">
        <v>336000</v>
      </c>
      <c r="F72" s="87">
        <f>+D72+E72</f>
        <v>948903.44</v>
      </c>
      <c r="G72" s="15">
        <f t="shared" ref="G72:G136" si="5">+F72-C72</f>
        <v>-51096.560000000056</v>
      </c>
    </row>
    <row r="73" spans="1:9" ht="15" customHeight="1">
      <c r="A73" s="3" t="s">
        <v>131</v>
      </c>
      <c r="B73" s="6" t="s">
        <v>132</v>
      </c>
      <c r="C73" s="37">
        <v>70000</v>
      </c>
      <c r="D73" s="44">
        <v>271716.69</v>
      </c>
      <c r="E73" s="87">
        <v>73185</v>
      </c>
      <c r="F73" s="87">
        <f>+D73+E73</f>
        <v>344901.69</v>
      </c>
      <c r="G73" s="15">
        <f t="shared" si="5"/>
        <v>274901.69</v>
      </c>
      <c r="H73" s="33"/>
    </row>
    <row r="74" spans="1:9" ht="15" customHeight="1">
      <c r="A74" s="58" t="s">
        <v>133</v>
      </c>
      <c r="B74" s="59" t="s">
        <v>134</v>
      </c>
      <c r="C74" s="60">
        <f>+C75+C76</f>
        <v>502000</v>
      </c>
      <c r="D74" s="60">
        <f>+D75+D76</f>
        <v>310189.62000000005</v>
      </c>
      <c r="E74" s="60">
        <f>+E75+E76</f>
        <v>152678.51999999999</v>
      </c>
      <c r="F74" s="60">
        <f>+F75+F76</f>
        <v>462868.14000000007</v>
      </c>
      <c r="G74" s="60">
        <f t="shared" si="5"/>
        <v>-39131.859999999928</v>
      </c>
      <c r="H74" s="60"/>
    </row>
    <row r="75" spans="1:9" ht="15" customHeight="1">
      <c r="A75" s="3" t="s">
        <v>135</v>
      </c>
      <c r="B75" s="6" t="s">
        <v>136</v>
      </c>
      <c r="C75" s="37">
        <v>500000</v>
      </c>
      <c r="D75" s="44">
        <v>308312.03000000003</v>
      </c>
      <c r="E75" s="87">
        <v>151178.51999999999</v>
      </c>
      <c r="F75" s="87">
        <f>+D75+E75</f>
        <v>459490.55000000005</v>
      </c>
      <c r="G75" s="15">
        <f t="shared" si="5"/>
        <v>-40509.449999999953</v>
      </c>
      <c r="H75" s="33"/>
    </row>
    <row r="76" spans="1:9" ht="15" customHeight="1">
      <c r="A76" s="3" t="s">
        <v>137</v>
      </c>
      <c r="B76" s="3" t="s">
        <v>138</v>
      </c>
      <c r="C76" s="37">
        <v>2000</v>
      </c>
      <c r="D76" s="44">
        <v>1877.59</v>
      </c>
      <c r="E76" s="87">
        <v>1500</v>
      </c>
      <c r="F76" s="87">
        <f>+D76+E76</f>
        <v>3377.59</v>
      </c>
      <c r="G76" s="15">
        <f t="shared" si="5"/>
        <v>1377.5900000000001</v>
      </c>
    </row>
    <row r="77" spans="1:9" ht="15" customHeight="1">
      <c r="A77" s="58" t="s">
        <v>139</v>
      </c>
      <c r="B77" s="58" t="s">
        <v>140</v>
      </c>
      <c r="C77" s="60">
        <f>+C79+C80+C78</f>
        <v>10150000</v>
      </c>
      <c r="D77" s="60">
        <f>+D79+D80+D78</f>
        <v>2215572.7599999998</v>
      </c>
      <c r="E77" s="60">
        <f>+E79+E80+E78</f>
        <v>1621633.88</v>
      </c>
      <c r="F77" s="60">
        <f>+F79+F80+F78</f>
        <v>3837206.6399999997</v>
      </c>
      <c r="G77" s="60">
        <f t="shared" si="5"/>
        <v>-6312793.3600000003</v>
      </c>
    </row>
    <row r="78" spans="1:9" ht="15" customHeight="1">
      <c r="A78" s="38" t="s">
        <v>608</v>
      </c>
      <c r="B78" t="s">
        <v>609</v>
      </c>
      <c r="C78" s="61">
        <v>0</v>
      </c>
      <c r="D78" s="44">
        <v>963.58</v>
      </c>
      <c r="E78" s="61">
        <v>1500</v>
      </c>
      <c r="F78" s="87">
        <f>+D78+E78</f>
        <v>2463.58</v>
      </c>
      <c r="G78" s="15">
        <f t="shared" si="5"/>
        <v>2463.58</v>
      </c>
    </row>
    <row r="79" spans="1:9" ht="15" customHeight="1">
      <c r="A79" s="3" t="s">
        <v>141</v>
      </c>
      <c r="B79" s="3" t="s">
        <v>142</v>
      </c>
      <c r="C79" s="37">
        <v>2150000</v>
      </c>
      <c r="D79" s="44">
        <v>1646894.44</v>
      </c>
      <c r="E79" s="87">
        <v>705974.88</v>
      </c>
      <c r="F79" s="87">
        <f>+D79+E79</f>
        <v>2352869.3199999998</v>
      </c>
      <c r="G79" s="15">
        <f t="shared" si="5"/>
        <v>202869.31999999983</v>
      </c>
      <c r="H79" s="33"/>
    </row>
    <row r="80" spans="1:9" s="19" customFormat="1" ht="15" customHeight="1">
      <c r="A80" s="35" t="s">
        <v>143</v>
      </c>
      <c r="B80" s="35" t="s">
        <v>144</v>
      </c>
      <c r="C80" s="95">
        <v>8000000</v>
      </c>
      <c r="D80" s="96">
        <v>567714.74</v>
      </c>
      <c r="E80" s="34">
        <v>914159</v>
      </c>
      <c r="F80" s="34">
        <f>+D80+E80</f>
        <v>1481873.74</v>
      </c>
      <c r="G80" s="34">
        <f t="shared" si="5"/>
        <v>-6518126.2599999998</v>
      </c>
      <c r="H80"/>
      <c r="I80"/>
    </row>
    <row r="81" spans="1:9" ht="15" customHeight="1">
      <c r="A81" s="58" t="s">
        <v>145</v>
      </c>
      <c r="B81" s="59" t="s">
        <v>146</v>
      </c>
      <c r="C81" s="60">
        <f>SUBTOTAL(9,C82:C90)</f>
        <v>550500</v>
      </c>
      <c r="D81" s="60">
        <f>SUBTOTAL(9,D82:D90)</f>
        <v>1546091.42</v>
      </c>
      <c r="E81" s="60">
        <f>SUBTOTAL(9,E82:E90)</f>
        <v>2118656</v>
      </c>
      <c r="F81" s="60">
        <f>SUBTOTAL(9,F82:F90)</f>
        <v>3664747.42</v>
      </c>
      <c r="G81" s="60">
        <f t="shared" si="5"/>
        <v>3114247.42</v>
      </c>
    </row>
    <row r="82" spans="1:9" ht="15" customHeight="1">
      <c r="A82" s="3" t="s">
        <v>147</v>
      </c>
      <c r="B82" s="6" t="s">
        <v>148</v>
      </c>
      <c r="C82" s="37">
        <v>50000</v>
      </c>
      <c r="D82" s="44">
        <v>106484</v>
      </c>
      <c r="E82" s="87">
        <v>35494</v>
      </c>
      <c r="F82" s="87">
        <f t="shared" ref="F82:F90" si="6">+D82+E82</f>
        <v>141978</v>
      </c>
      <c r="G82" s="15">
        <f t="shared" si="5"/>
        <v>91978</v>
      </c>
    </row>
    <row r="83" spans="1:9" ht="15" customHeight="1">
      <c r="A83" s="3" t="s">
        <v>149</v>
      </c>
      <c r="B83" s="6" t="s">
        <v>150</v>
      </c>
      <c r="C83" s="37">
        <v>150000</v>
      </c>
      <c r="D83" s="44">
        <v>229989</v>
      </c>
      <c r="E83" s="87">
        <v>243000</v>
      </c>
      <c r="F83" s="87">
        <f t="shared" si="6"/>
        <v>472989</v>
      </c>
      <c r="G83" s="15">
        <f t="shared" si="5"/>
        <v>322989</v>
      </c>
    </row>
    <row r="84" spans="1:9" ht="15" customHeight="1">
      <c r="A84" s="3" t="s">
        <v>151</v>
      </c>
      <c r="B84" s="6" t="s">
        <v>152</v>
      </c>
      <c r="C84" s="37">
        <v>500</v>
      </c>
      <c r="D84" s="44">
        <v>1718.29</v>
      </c>
      <c r="E84" s="87">
        <v>1600</v>
      </c>
      <c r="F84" s="87">
        <f t="shared" si="6"/>
        <v>3318.29</v>
      </c>
      <c r="G84" s="15">
        <f t="shared" si="5"/>
        <v>2818.29</v>
      </c>
    </row>
    <row r="85" spans="1:9" ht="15" customHeight="1">
      <c r="A85" s="38" t="s">
        <v>153</v>
      </c>
      <c r="B85" s="38" t="s">
        <v>154</v>
      </c>
      <c r="C85" s="37">
        <v>0</v>
      </c>
      <c r="D85" s="44">
        <v>1313.79</v>
      </c>
      <c r="E85" s="87">
        <v>800</v>
      </c>
      <c r="F85" s="87">
        <f t="shared" si="6"/>
        <v>2113.79</v>
      </c>
      <c r="G85" s="15">
        <f t="shared" si="5"/>
        <v>2113.79</v>
      </c>
    </row>
    <row r="86" spans="1:9" ht="15" customHeight="1">
      <c r="A86" s="38" t="s">
        <v>155</v>
      </c>
      <c r="B86" s="38" t="s">
        <v>156</v>
      </c>
      <c r="C86" s="37">
        <v>0</v>
      </c>
      <c r="D86" s="44">
        <v>235</v>
      </c>
      <c r="E86" s="87">
        <v>400</v>
      </c>
      <c r="F86" s="87">
        <f t="shared" si="6"/>
        <v>635</v>
      </c>
      <c r="G86" s="15">
        <f t="shared" si="5"/>
        <v>635</v>
      </c>
    </row>
    <row r="87" spans="1:9" ht="15" customHeight="1">
      <c r="A87" s="3" t="s">
        <v>157</v>
      </c>
      <c r="B87" s="6" t="s">
        <v>158</v>
      </c>
      <c r="C87" s="37">
        <v>100000</v>
      </c>
      <c r="D87" s="44">
        <v>946209.83</v>
      </c>
      <c r="E87" s="87">
        <v>1270935</v>
      </c>
      <c r="F87" s="87">
        <f t="shared" si="6"/>
        <v>2217144.83</v>
      </c>
      <c r="G87" s="15">
        <f t="shared" si="5"/>
        <v>2117144.83</v>
      </c>
    </row>
    <row r="88" spans="1:9" ht="15" customHeight="1">
      <c r="A88" s="3" t="s">
        <v>159</v>
      </c>
      <c r="B88" s="3" t="s">
        <v>160</v>
      </c>
      <c r="C88" s="37">
        <v>50000</v>
      </c>
      <c r="D88" s="44">
        <v>87754.85</v>
      </c>
      <c r="E88" s="34">
        <v>468246</v>
      </c>
      <c r="F88" s="87">
        <f t="shared" si="6"/>
        <v>556000.85</v>
      </c>
      <c r="G88" s="15">
        <f t="shared" si="5"/>
        <v>506000.85</v>
      </c>
      <c r="H88" s="33"/>
      <c r="I88" s="33"/>
    </row>
    <row r="89" spans="1:9" ht="15" customHeight="1">
      <c r="A89" s="3" t="s">
        <v>161</v>
      </c>
      <c r="B89" s="6" t="s">
        <v>162</v>
      </c>
      <c r="C89" s="37">
        <v>150000</v>
      </c>
      <c r="D89" s="44">
        <v>146169.99</v>
      </c>
      <c r="E89" s="87">
        <v>70485</v>
      </c>
      <c r="F89" s="87">
        <f t="shared" si="6"/>
        <v>216654.99</v>
      </c>
      <c r="G89" s="15">
        <f t="shared" si="5"/>
        <v>66654.989999999991</v>
      </c>
      <c r="H89" s="33"/>
    </row>
    <row r="90" spans="1:9" ht="15" customHeight="1">
      <c r="A90" s="3" t="s">
        <v>163</v>
      </c>
      <c r="B90" s="3" t="s">
        <v>164</v>
      </c>
      <c r="C90" s="37">
        <v>50000</v>
      </c>
      <c r="D90" s="44">
        <v>26216.67</v>
      </c>
      <c r="E90" s="87">
        <v>27696</v>
      </c>
      <c r="F90" s="87">
        <f t="shared" si="6"/>
        <v>53912.67</v>
      </c>
      <c r="G90" s="15">
        <f t="shared" si="5"/>
        <v>3912.6699999999983</v>
      </c>
    </row>
    <row r="91" spans="1:9" ht="15" customHeight="1">
      <c r="A91" s="58" t="s">
        <v>165</v>
      </c>
      <c r="B91" s="59" t="s">
        <v>166</v>
      </c>
      <c r="C91" s="60">
        <f>+C92+C97</f>
        <v>17894453</v>
      </c>
      <c r="D91" s="60">
        <f>+D92+D97</f>
        <v>4383254.68</v>
      </c>
      <c r="E91" s="60">
        <f>+E92+E97</f>
        <v>3916598.79</v>
      </c>
      <c r="F91" s="60">
        <f>+F92+F97</f>
        <v>8299853.4700000007</v>
      </c>
      <c r="G91" s="60">
        <f t="shared" si="5"/>
        <v>-9594599.5299999993</v>
      </c>
    </row>
    <row r="92" spans="1:9" ht="15" customHeight="1">
      <c r="A92" s="2" t="s">
        <v>167</v>
      </c>
      <c r="B92" s="10" t="s">
        <v>168</v>
      </c>
      <c r="C92" s="5">
        <f>SUBTOTAL(9,C93:C96)</f>
        <v>15887153</v>
      </c>
      <c r="D92" s="39">
        <f>SUBTOTAL(9,D93:D96)</f>
        <v>2249610.6799999997</v>
      </c>
      <c r="E92" s="39">
        <f>SUBTOTAL(9,E93:E96)</f>
        <v>3245617</v>
      </c>
      <c r="F92" s="39">
        <f>SUBTOTAL(9,F93:F96)</f>
        <v>5495227.6800000006</v>
      </c>
      <c r="G92" s="5">
        <f t="shared" si="5"/>
        <v>-10391925.32</v>
      </c>
      <c r="H92" s="33"/>
    </row>
    <row r="93" spans="1:9" s="19" customFormat="1" ht="15" customHeight="1">
      <c r="A93" s="35" t="s">
        <v>169</v>
      </c>
      <c r="B93" s="76" t="s">
        <v>170</v>
      </c>
      <c r="C93" s="95">
        <v>4500000</v>
      </c>
      <c r="D93" s="96">
        <v>760948.5</v>
      </c>
      <c r="E93" s="97">
        <f>536949+551250+700000</f>
        <v>1788199</v>
      </c>
      <c r="F93" s="34">
        <f>+D93+E93</f>
        <v>2549147.5</v>
      </c>
      <c r="G93" s="34">
        <f t="shared" si="5"/>
        <v>-1950852.5</v>
      </c>
      <c r="H93" s="33"/>
      <c r="I93"/>
    </row>
    <row r="94" spans="1:9" s="19" customFormat="1" ht="15" customHeight="1">
      <c r="A94" s="35" t="s">
        <v>171</v>
      </c>
      <c r="B94" s="84" t="s">
        <v>172</v>
      </c>
      <c r="C94" s="37">
        <v>11326653</v>
      </c>
      <c r="D94" s="44">
        <v>1372942</v>
      </c>
      <c r="E94" s="77">
        <v>1315653</v>
      </c>
      <c r="F94" s="87">
        <f>+D94+E94</f>
        <v>2688595</v>
      </c>
      <c r="G94" s="34">
        <f t="shared" si="5"/>
        <v>-8638058</v>
      </c>
      <c r="H94" s="33"/>
      <c r="I94"/>
    </row>
    <row r="95" spans="1:9" s="19" customFormat="1" ht="15" customHeight="1">
      <c r="A95" s="35" t="s">
        <v>173</v>
      </c>
      <c r="B95" s="76" t="s">
        <v>174</v>
      </c>
      <c r="C95" s="37">
        <v>50000</v>
      </c>
      <c r="D95" s="44">
        <v>115544.32000000001</v>
      </c>
      <c r="E95" s="78">
        <v>140865</v>
      </c>
      <c r="F95" s="87">
        <f>+D95+E95</f>
        <v>256409.32</v>
      </c>
      <c r="G95" s="34">
        <f t="shared" si="5"/>
        <v>206409.32</v>
      </c>
      <c r="H95"/>
      <c r="I95"/>
    </row>
    <row r="96" spans="1:9" s="19" customFormat="1" ht="15" customHeight="1">
      <c r="A96" s="35" t="s">
        <v>175</v>
      </c>
      <c r="B96" s="35" t="s">
        <v>176</v>
      </c>
      <c r="C96" s="37">
        <v>10500</v>
      </c>
      <c r="D96" s="44">
        <v>175.86</v>
      </c>
      <c r="E96" s="87">
        <v>900</v>
      </c>
      <c r="F96" s="87">
        <f>+D96+E96</f>
        <v>1075.8600000000001</v>
      </c>
      <c r="G96" s="34">
        <f t="shared" si="5"/>
        <v>-9424.14</v>
      </c>
      <c r="H96"/>
      <c r="I96"/>
    </row>
    <row r="97" spans="1:9" s="19" customFormat="1" ht="15" customHeight="1">
      <c r="A97" s="16" t="s">
        <v>177</v>
      </c>
      <c r="B97" s="16" t="s">
        <v>178</v>
      </c>
      <c r="C97" s="18">
        <f>SUBTOTAL(9,C98:C100)</f>
        <v>2007300</v>
      </c>
      <c r="D97" s="18">
        <f>SUBTOTAL(9,D98:D100)</f>
        <v>2133644</v>
      </c>
      <c r="E97" s="39">
        <f>SUBTOTAL(9,E98:E100)</f>
        <v>670981.79</v>
      </c>
      <c r="F97" s="39">
        <f>SUBTOTAL(9,F98:F100)</f>
        <v>2804625.79</v>
      </c>
      <c r="G97" s="18">
        <f t="shared" si="5"/>
        <v>797325.79</v>
      </c>
      <c r="H97"/>
      <c r="I97"/>
    </row>
    <row r="98" spans="1:9" ht="15" customHeight="1">
      <c r="A98" s="3" t="s">
        <v>179</v>
      </c>
      <c r="B98" s="6" t="s">
        <v>180</v>
      </c>
      <c r="C98" s="37">
        <v>5000</v>
      </c>
      <c r="D98" s="44">
        <v>210935.39</v>
      </c>
      <c r="E98" s="87">
        <v>95000</v>
      </c>
      <c r="F98" s="87">
        <f>+D98+E98</f>
        <v>305935.39</v>
      </c>
      <c r="G98" s="15">
        <f t="shared" si="5"/>
        <v>300935.39</v>
      </c>
      <c r="H98" s="33"/>
    </row>
    <row r="99" spans="1:9" ht="15" customHeight="1">
      <c r="A99" s="3" t="s">
        <v>181</v>
      </c>
      <c r="B99" s="3" t="s">
        <v>182</v>
      </c>
      <c r="C99" s="37">
        <v>2000000</v>
      </c>
      <c r="D99" s="44">
        <v>1920778.34</v>
      </c>
      <c r="E99" s="87">
        <v>574781.79</v>
      </c>
      <c r="F99" s="87">
        <f>+D99+E99</f>
        <v>2495560.13</v>
      </c>
      <c r="G99" s="15">
        <f t="shared" si="5"/>
        <v>495560.12999999989</v>
      </c>
      <c r="H99" s="33"/>
    </row>
    <row r="100" spans="1:9" ht="15" customHeight="1">
      <c r="A100" s="3" t="s">
        <v>183</v>
      </c>
      <c r="B100" s="6" t="s">
        <v>184</v>
      </c>
      <c r="C100" s="37">
        <v>2300</v>
      </c>
      <c r="D100" s="44">
        <v>1930.27</v>
      </c>
      <c r="E100" s="87">
        <v>1200</v>
      </c>
      <c r="F100" s="87">
        <f>+D100+E100</f>
        <v>3130.27</v>
      </c>
      <c r="G100" s="15">
        <f t="shared" si="5"/>
        <v>830.27</v>
      </c>
    </row>
    <row r="101" spans="1:9" ht="15" customHeight="1">
      <c r="A101" s="58" t="s">
        <v>185</v>
      </c>
      <c r="B101" s="59" t="s">
        <v>186</v>
      </c>
      <c r="C101" s="60">
        <f>+C102</f>
        <v>18130000</v>
      </c>
      <c r="D101" s="60">
        <f>+D102</f>
        <v>10672896.520000001</v>
      </c>
      <c r="E101" s="60">
        <f>+E102</f>
        <v>4485699</v>
      </c>
      <c r="F101" s="60">
        <f>+F102</f>
        <v>15158595.520000001</v>
      </c>
      <c r="G101" s="60">
        <f t="shared" si="5"/>
        <v>-2971404.4799999986</v>
      </c>
    </row>
    <row r="102" spans="1:9" ht="15" customHeight="1">
      <c r="A102" s="2" t="s">
        <v>187</v>
      </c>
      <c r="B102" s="10" t="s">
        <v>188</v>
      </c>
      <c r="C102" s="5">
        <f>SUBTOTAL(9,C103:C105)</f>
        <v>18130000</v>
      </c>
      <c r="D102" s="5">
        <f>SUBTOTAL(9,D103:D105)</f>
        <v>10672896.520000001</v>
      </c>
      <c r="E102" s="39">
        <f>SUBTOTAL(9,E103:E105)</f>
        <v>4485699</v>
      </c>
      <c r="F102" s="39">
        <f>SUBTOTAL(9,F103:F105)</f>
        <v>15158595.520000001</v>
      </c>
      <c r="G102" s="5">
        <f t="shared" si="5"/>
        <v>-2971404.4799999986</v>
      </c>
    </row>
    <row r="103" spans="1:9" ht="15" customHeight="1">
      <c r="A103" s="3" t="s">
        <v>189</v>
      </c>
      <c r="B103" s="6" t="s">
        <v>190</v>
      </c>
      <c r="C103" s="37">
        <v>15000000</v>
      </c>
      <c r="D103" s="44">
        <v>10072491.970000001</v>
      </c>
      <c r="E103" s="87">
        <v>4206000</v>
      </c>
      <c r="F103" s="87">
        <f>+D103+E103</f>
        <v>14278491.970000001</v>
      </c>
      <c r="G103" s="15">
        <f t="shared" si="5"/>
        <v>-721508.02999999933</v>
      </c>
      <c r="H103" s="33"/>
    </row>
    <row r="104" spans="1:9" ht="15" customHeight="1">
      <c r="A104" s="3" t="s">
        <v>191</v>
      </c>
      <c r="B104" s="6" t="s">
        <v>192</v>
      </c>
      <c r="C104" s="37">
        <v>3000000</v>
      </c>
      <c r="D104" s="44">
        <v>436462.72</v>
      </c>
      <c r="E104" s="87">
        <v>170919</v>
      </c>
      <c r="F104" s="87">
        <f>+D104+E104</f>
        <v>607381.72</v>
      </c>
      <c r="G104" s="15">
        <f t="shared" si="5"/>
        <v>-2392618.2800000003</v>
      </c>
    </row>
    <row r="105" spans="1:9" ht="15" customHeight="1">
      <c r="A105" s="3" t="s">
        <v>193</v>
      </c>
      <c r="B105" s="6" t="s">
        <v>194</v>
      </c>
      <c r="C105" s="37">
        <v>130000</v>
      </c>
      <c r="D105" s="44">
        <v>163941.82999999999</v>
      </c>
      <c r="E105" s="87">
        <v>108780</v>
      </c>
      <c r="F105" s="87">
        <f>+D105+E105</f>
        <v>272721.82999999996</v>
      </c>
      <c r="G105" s="15">
        <f t="shared" si="5"/>
        <v>142721.82999999996</v>
      </c>
    </row>
    <row r="106" spans="1:9" ht="15" customHeight="1">
      <c r="A106" s="58" t="s">
        <v>195</v>
      </c>
      <c r="B106" s="58" t="s">
        <v>196</v>
      </c>
      <c r="C106" s="60">
        <f>SUBTOTAL(9,C107:C110)</f>
        <v>363000</v>
      </c>
      <c r="D106" s="60">
        <f>SUBTOTAL(9,D107:D110)</f>
        <v>221366.95</v>
      </c>
      <c r="E106" s="60">
        <f>SUBTOTAL(9,E107:E110)</f>
        <v>156818</v>
      </c>
      <c r="F106" s="60">
        <f>SUBTOTAL(9,F107:F110)</f>
        <v>378184.95</v>
      </c>
      <c r="G106" s="60">
        <f t="shared" si="5"/>
        <v>15184.950000000012</v>
      </c>
    </row>
    <row r="107" spans="1:9" ht="15" customHeight="1">
      <c r="A107" s="3" t="s">
        <v>197</v>
      </c>
      <c r="B107" s="6" t="s">
        <v>198</v>
      </c>
      <c r="C107" s="37">
        <v>112000</v>
      </c>
      <c r="D107" s="44">
        <v>1950</v>
      </c>
      <c r="E107" s="34">
        <v>38880</v>
      </c>
      <c r="F107" s="87">
        <f>+D107+E107</f>
        <v>40830</v>
      </c>
      <c r="G107" s="15">
        <f t="shared" si="5"/>
        <v>-71170</v>
      </c>
      <c r="H107" s="33"/>
    </row>
    <row r="108" spans="1:9" ht="15" customHeight="1">
      <c r="A108" s="3" t="s">
        <v>199</v>
      </c>
      <c r="B108" s="3" t="s">
        <v>200</v>
      </c>
      <c r="C108" s="37">
        <v>250000</v>
      </c>
      <c r="D108" s="44">
        <v>209077.45</v>
      </c>
      <c r="E108" s="87">
        <v>115438</v>
      </c>
      <c r="F108" s="87">
        <f>+D108+E108</f>
        <v>324515.45</v>
      </c>
      <c r="G108" s="15">
        <f t="shared" si="5"/>
        <v>74515.450000000012</v>
      </c>
      <c r="H108" s="33"/>
    </row>
    <row r="109" spans="1:9" ht="15" customHeight="1">
      <c r="A109" s="3" t="s">
        <v>201</v>
      </c>
      <c r="B109" s="6" t="s">
        <v>202</v>
      </c>
      <c r="C109" s="37">
        <v>0</v>
      </c>
      <c r="D109" s="44">
        <v>10156.14</v>
      </c>
      <c r="E109" s="87">
        <v>2000</v>
      </c>
      <c r="F109" s="87">
        <f>+D109+E109</f>
        <v>12156.14</v>
      </c>
      <c r="G109" s="15">
        <f t="shared" si="5"/>
        <v>12156.14</v>
      </c>
    </row>
    <row r="110" spans="1:9" ht="15" customHeight="1">
      <c r="A110" s="3" t="s">
        <v>203</v>
      </c>
      <c r="B110" s="6" t="s">
        <v>204</v>
      </c>
      <c r="C110" s="37">
        <v>1000</v>
      </c>
      <c r="D110" s="44">
        <v>183.36</v>
      </c>
      <c r="E110" s="87">
        <v>500</v>
      </c>
      <c r="F110" s="87">
        <f>+D110+E110</f>
        <v>683.36</v>
      </c>
      <c r="G110" s="15">
        <f t="shared" si="5"/>
        <v>-316.64</v>
      </c>
    </row>
    <row r="111" spans="1:9" ht="15" customHeight="1">
      <c r="A111" s="58" t="s">
        <v>205</v>
      </c>
      <c r="B111" s="59" t="s">
        <v>206</v>
      </c>
      <c r="C111" s="60">
        <f>+C112+C113+C114+C115+C117+C118++C116+C119</f>
        <v>2875000</v>
      </c>
      <c r="D111" s="60">
        <f>+D112+D113+D114+D115+D117+D118++D116+D119</f>
        <v>1132507.4599999997</v>
      </c>
      <c r="E111" s="60">
        <f>+E112+E113+E114+E115+E117+E118++E116+E119</f>
        <v>931977.91</v>
      </c>
      <c r="F111" s="60">
        <f>+F112+F113+F114+F115+F117+F118++F116+F119</f>
        <v>2064485.37</v>
      </c>
      <c r="G111" s="60">
        <f t="shared" si="5"/>
        <v>-810514.62999999989</v>
      </c>
    </row>
    <row r="112" spans="1:9" ht="15" customHeight="1">
      <c r="A112" s="3" t="s">
        <v>207</v>
      </c>
      <c r="B112" s="6" t="s">
        <v>208</v>
      </c>
      <c r="C112" s="37">
        <v>2000000</v>
      </c>
      <c r="D112" s="44">
        <v>382232.09</v>
      </c>
      <c r="E112" s="34">
        <v>517181.34</v>
      </c>
      <c r="F112" s="87">
        <f t="shared" ref="F112:F118" si="7">+D112+E112</f>
        <v>899413.43</v>
      </c>
      <c r="G112" s="15">
        <f t="shared" si="5"/>
        <v>-1100586.5699999998</v>
      </c>
      <c r="H112" s="33"/>
    </row>
    <row r="113" spans="1:9" ht="15" customHeight="1">
      <c r="A113" s="3" t="s">
        <v>209</v>
      </c>
      <c r="B113" s="3" t="s">
        <v>210</v>
      </c>
      <c r="C113" s="37">
        <v>10000</v>
      </c>
      <c r="D113" s="44">
        <v>15022.41</v>
      </c>
      <c r="E113" s="34">
        <v>5007</v>
      </c>
      <c r="F113" s="87">
        <f t="shared" si="7"/>
        <v>20029.41</v>
      </c>
      <c r="G113" s="15">
        <f t="shared" si="5"/>
        <v>10029.41</v>
      </c>
    </row>
    <row r="114" spans="1:9" ht="15" customHeight="1">
      <c r="A114" s="3" t="s">
        <v>211</v>
      </c>
      <c r="B114" s="3" t="s">
        <v>212</v>
      </c>
      <c r="C114" s="37">
        <v>250000</v>
      </c>
      <c r="D114" s="44">
        <v>292000.36</v>
      </c>
      <c r="E114" s="34">
        <v>148048.92000000001</v>
      </c>
      <c r="F114" s="87">
        <f t="shared" si="7"/>
        <v>440049.28</v>
      </c>
      <c r="G114" s="15">
        <f t="shared" si="5"/>
        <v>190049.28000000003</v>
      </c>
      <c r="H114" s="33"/>
    </row>
    <row r="115" spans="1:9" ht="15" customHeight="1">
      <c r="A115" s="3" t="s">
        <v>213</v>
      </c>
      <c r="B115" s="3" t="s">
        <v>214</v>
      </c>
      <c r="C115" s="37">
        <v>100000</v>
      </c>
      <c r="D115" s="44">
        <v>47018.07</v>
      </c>
      <c r="E115" s="87">
        <v>15672</v>
      </c>
      <c r="F115" s="87">
        <f t="shared" si="7"/>
        <v>62690.07</v>
      </c>
      <c r="G115" s="15">
        <f t="shared" si="5"/>
        <v>-37309.93</v>
      </c>
      <c r="H115" s="33"/>
    </row>
    <row r="116" spans="1:9" ht="15" customHeight="1">
      <c r="A116" s="38" t="s">
        <v>610</v>
      </c>
      <c r="B116" s="38" t="s">
        <v>611</v>
      </c>
      <c r="C116" s="37">
        <v>0</v>
      </c>
      <c r="D116" s="77">
        <v>14439.65</v>
      </c>
      <c r="E116" s="87">
        <v>4813</v>
      </c>
      <c r="F116" s="87">
        <f t="shared" si="7"/>
        <v>19252.650000000001</v>
      </c>
      <c r="G116" s="15">
        <f t="shared" si="5"/>
        <v>19252.650000000001</v>
      </c>
    </row>
    <row r="117" spans="1:9" ht="22.5" customHeight="1">
      <c r="A117" s="3" t="s">
        <v>215</v>
      </c>
      <c r="B117" s="3" t="s">
        <v>216</v>
      </c>
      <c r="C117" s="37">
        <v>400000</v>
      </c>
      <c r="D117" s="44">
        <v>297043.55</v>
      </c>
      <c r="E117" s="87">
        <v>213006</v>
      </c>
      <c r="F117" s="87">
        <f t="shared" si="7"/>
        <v>510049.55</v>
      </c>
      <c r="G117" s="15">
        <f t="shared" si="5"/>
        <v>110049.54999999999</v>
      </c>
      <c r="H117" s="33"/>
    </row>
    <row r="118" spans="1:9" ht="22.5" customHeight="1">
      <c r="A118" s="3" t="s">
        <v>217</v>
      </c>
      <c r="B118" s="3" t="s">
        <v>218</v>
      </c>
      <c r="C118" s="37">
        <v>100000</v>
      </c>
      <c r="D118" s="44">
        <v>29988.38</v>
      </c>
      <c r="E118" s="87">
        <v>9996</v>
      </c>
      <c r="F118" s="87">
        <f t="shared" si="7"/>
        <v>39984.380000000005</v>
      </c>
      <c r="G118" s="15">
        <f t="shared" si="5"/>
        <v>-60015.619999999995</v>
      </c>
    </row>
    <row r="119" spans="1:9" ht="15" customHeight="1">
      <c r="A119" s="58" t="s">
        <v>219</v>
      </c>
      <c r="B119" s="58" t="s">
        <v>220</v>
      </c>
      <c r="C119" s="60">
        <f>+C120+C121</f>
        <v>15000</v>
      </c>
      <c r="D119" s="60">
        <f>+D120+D121</f>
        <v>54762.95</v>
      </c>
      <c r="E119" s="60">
        <f>+E120+E121</f>
        <v>18253.650000000001</v>
      </c>
      <c r="F119" s="60">
        <f>+F120+F121</f>
        <v>73016.600000000006</v>
      </c>
      <c r="G119" s="60">
        <f t="shared" si="5"/>
        <v>58016.600000000006</v>
      </c>
    </row>
    <row r="120" spans="1:9" ht="22.5" customHeight="1">
      <c r="A120" s="3" t="s">
        <v>221</v>
      </c>
      <c r="B120" s="6" t="s">
        <v>222</v>
      </c>
      <c r="C120" s="7">
        <v>0</v>
      </c>
      <c r="D120" s="44">
        <v>42410</v>
      </c>
      <c r="E120" s="77">
        <v>14136</v>
      </c>
      <c r="F120" s="87">
        <f>+D120+E120</f>
        <v>56546</v>
      </c>
      <c r="G120" s="15">
        <f t="shared" si="5"/>
        <v>56546</v>
      </c>
    </row>
    <row r="121" spans="1:9" ht="15" customHeight="1">
      <c r="A121" s="3" t="s">
        <v>223</v>
      </c>
      <c r="B121" s="3" t="s">
        <v>220</v>
      </c>
      <c r="C121" s="37">
        <v>15000</v>
      </c>
      <c r="D121" s="44">
        <v>12352.95</v>
      </c>
      <c r="E121" s="87">
        <v>4117.6499999999996</v>
      </c>
      <c r="F121" s="87">
        <f>+D121+E121</f>
        <v>16470.599999999999</v>
      </c>
      <c r="G121" s="15">
        <f t="shared" si="5"/>
        <v>1470.5999999999985</v>
      </c>
    </row>
    <row r="122" spans="1:9" ht="15" customHeight="1">
      <c r="A122" s="14" t="s">
        <v>224</v>
      </c>
      <c r="B122" s="4"/>
      <c r="E122" s="85"/>
      <c r="G122" s="1">
        <f t="shared" si="5"/>
        <v>0</v>
      </c>
    </row>
    <row r="123" spans="1:9" s="22" customFormat="1" ht="15" customHeight="1">
      <c r="A123" s="52" t="s">
        <v>225</v>
      </c>
      <c r="B123" s="53" t="s">
        <v>226</v>
      </c>
      <c r="C123" s="54">
        <f>+C125+C137+C145+C170+C188+C211+C227+C234+C241</f>
        <v>780411750</v>
      </c>
      <c r="D123" s="54">
        <f>+D125+D137+D145+D170+D188+D211+D227+D234+D241</f>
        <v>436740997.23000002</v>
      </c>
      <c r="E123" s="54">
        <f>+E125+E137+E145+E170+E188+E211+E227+E234+E241</f>
        <v>198905151.70499998</v>
      </c>
      <c r="F123" s="54">
        <f>+F125+F137+F145+F170+F188+F211+F227+F234+F241</f>
        <v>635646148.93499994</v>
      </c>
      <c r="G123" s="54">
        <f t="shared" si="5"/>
        <v>-144765601.06500006</v>
      </c>
      <c r="H123"/>
      <c r="I123"/>
    </row>
    <row r="124" spans="1:9" ht="7.5" customHeight="1">
      <c r="A124" s="23"/>
      <c r="B124" s="24"/>
      <c r="C124" s="23"/>
      <c r="D124" s="23"/>
      <c r="E124" s="28"/>
      <c r="G124" s="23">
        <f t="shared" si="5"/>
        <v>0</v>
      </c>
    </row>
    <row r="125" spans="1:9" s="20" customFormat="1" ht="15" customHeight="1">
      <c r="A125" s="58" t="s">
        <v>227</v>
      </c>
      <c r="B125" s="59" t="s">
        <v>228</v>
      </c>
      <c r="C125" s="60">
        <f>+C126+C128+C130+C133+C135</f>
        <v>304629850</v>
      </c>
      <c r="D125" s="60">
        <f>+D126+D128+D130+D133+D135</f>
        <v>175724452.91999999</v>
      </c>
      <c r="E125" s="60">
        <f>+E126+E128+E130+E133+E135</f>
        <v>60913868</v>
      </c>
      <c r="F125" s="60">
        <f>+F126+F128+F130+F133+F135</f>
        <v>236638320.91999999</v>
      </c>
      <c r="G125" s="60">
        <f t="shared" si="5"/>
        <v>-67991529.080000013</v>
      </c>
      <c r="H125"/>
      <c r="I125"/>
    </row>
    <row r="126" spans="1:9" s="20" customFormat="1" ht="15" customHeight="1">
      <c r="A126" s="2" t="s">
        <v>229</v>
      </c>
      <c r="B126" s="10" t="s">
        <v>230</v>
      </c>
      <c r="C126" s="5">
        <f>+C127</f>
        <v>303865000</v>
      </c>
      <c r="D126" s="5">
        <f>+D127</f>
        <v>175126177.41999999</v>
      </c>
      <c r="E126" s="39">
        <f>+E127</f>
        <v>60660450</v>
      </c>
      <c r="F126" s="39">
        <f>+F127</f>
        <v>235786627.41999999</v>
      </c>
      <c r="G126" s="5">
        <f t="shared" si="5"/>
        <v>-68078372.580000013</v>
      </c>
      <c r="H126"/>
      <c r="I126"/>
    </row>
    <row r="127" spans="1:9" ht="15" customHeight="1">
      <c r="A127" s="3" t="s">
        <v>231</v>
      </c>
      <c r="B127" s="83" t="s">
        <v>232</v>
      </c>
      <c r="C127" s="37">
        <v>303865000</v>
      </c>
      <c r="D127" s="44">
        <v>175126177.41999999</v>
      </c>
      <c r="E127" s="78">
        <v>60660450</v>
      </c>
      <c r="F127" s="87">
        <f>+D127+E127</f>
        <v>235786627.41999999</v>
      </c>
      <c r="G127" s="15">
        <f t="shared" si="5"/>
        <v>-68078372.580000013</v>
      </c>
      <c r="H127" s="33"/>
    </row>
    <row r="128" spans="1:9" s="20" customFormat="1" ht="15" customHeight="1">
      <c r="A128" s="2" t="s">
        <v>233</v>
      </c>
      <c r="B128" s="10" t="s">
        <v>234</v>
      </c>
      <c r="C128" s="5">
        <f>+C129</f>
        <v>13650</v>
      </c>
      <c r="D128" s="39">
        <f>+D129</f>
        <v>102290.65</v>
      </c>
      <c r="E128" s="39">
        <f>+E129</f>
        <v>35000</v>
      </c>
      <c r="F128" s="39">
        <f>+F129</f>
        <v>137290.65</v>
      </c>
      <c r="G128" s="5">
        <f t="shared" si="5"/>
        <v>123640.65</v>
      </c>
      <c r="H128"/>
      <c r="I128"/>
    </row>
    <row r="129" spans="1:10" ht="15" customHeight="1">
      <c r="A129" s="3" t="s">
        <v>235</v>
      </c>
      <c r="B129" s="6" t="s">
        <v>236</v>
      </c>
      <c r="C129" s="37">
        <v>13650</v>
      </c>
      <c r="D129" s="44">
        <v>102290.65</v>
      </c>
      <c r="E129" s="87">
        <v>35000</v>
      </c>
      <c r="F129" s="87">
        <f>+D129+E129</f>
        <v>137290.65</v>
      </c>
      <c r="G129" s="15">
        <f t="shared" si="5"/>
        <v>123640.65</v>
      </c>
    </row>
    <row r="130" spans="1:10" s="20" customFormat="1" ht="15" customHeight="1">
      <c r="A130" s="2" t="s">
        <v>237</v>
      </c>
      <c r="B130" s="10" t="s">
        <v>238</v>
      </c>
      <c r="C130" s="5">
        <f>+C131+C132</f>
        <v>417000</v>
      </c>
      <c r="D130" s="39">
        <f>+D131+D132</f>
        <v>240146.84</v>
      </c>
      <c r="E130" s="39">
        <f>+E131+E132</f>
        <v>81984</v>
      </c>
      <c r="F130" s="39">
        <f>+F131+F132</f>
        <v>322130.83999999997</v>
      </c>
      <c r="G130" s="5">
        <f t="shared" si="5"/>
        <v>-94869.160000000033</v>
      </c>
      <c r="H130"/>
      <c r="I130"/>
    </row>
    <row r="131" spans="1:10" ht="15" customHeight="1">
      <c r="A131" s="3" t="s">
        <v>239</v>
      </c>
      <c r="B131" s="6" t="s">
        <v>240</v>
      </c>
      <c r="C131" s="37">
        <v>326000</v>
      </c>
      <c r="D131" s="44">
        <v>205654.25</v>
      </c>
      <c r="E131" s="87">
        <v>70284</v>
      </c>
      <c r="F131" s="87">
        <f>+D131+E131</f>
        <v>275938.25</v>
      </c>
      <c r="G131" s="15">
        <f t="shared" si="5"/>
        <v>-50061.75</v>
      </c>
    </row>
    <row r="132" spans="1:10" ht="15" customHeight="1">
      <c r="A132" s="3" t="s">
        <v>241</v>
      </c>
      <c r="B132" s="6" t="s">
        <v>242</v>
      </c>
      <c r="C132" s="37">
        <v>91000</v>
      </c>
      <c r="D132" s="44">
        <v>34492.589999999997</v>
      </c>
      <c r="E132" s="87">
        <v>11700</v>
      </c>
      <c r="F132" s="87">
        <f>+D132+E132</f>
        <v>46192.59</v>
      </c>
      <c r="G132" s="15">
        <f t="shared" si="5"/>
        <v>-44807.41</v>
      </c>
    </row>
    <row r="133" spans="1:10" s="20" customFormat="1" ht="15" customHeight="1">
      <c r="A133" s="2" t="s">
        <v>243</v>
      </c>
      <c r="B133" s="2" t="s">
        <v>244</v>
      </c>
      <c r="C133" s="5">
        <f>+C134</f>
        <v>333000</v>
      </c>
      <c r="D133" s="39">
        <f>+D134</f>
        <v>255758.7</v>
      </c>
      <c r="E133" s="39">
        <f>+E134</f>
        <v>135834</v>
      </c>
      <c r="F133" s="39">
        <f>+F134</f>
        <v>391592.7</v>
      </c>
      <c r="G133" s="5">
        <f t="shared" si="5"/>
        <v>58592.700000000012</v>
      </c>
      <c r="H133"/>
      <c r="I133"/>
    </row>
    <row r="134" spans="1:10" ht="15" customHeight="1">
      <c r="A134" s="3" t="s">
        <v>245</v>
      </c>
      <c r="B134" s="3" t="s">
        <v>246</v>
      </c>
      <c r="C134" s="37">
        <v>333000</v>
      </c>
      <c r="D134" s="44">
        <v>255758.7</v>
      </c>
      <c r="E134" s="87">
        <v>135834</v>
      </c>
      <c r="F134" s="87">
        <f>+D134+E134</f>
        <v>391592.7</v>
      </c>
      <c r="G134" s="15">
        <f t="shared" si="5"/>
        <v>58592.700000000012</v>
      </c>
    </row>
    <row r="135" spans="1:10" s="20" customFormat="1" ht="15" customHeight="1">
      <c r="A135" s="2" t="s">
        <v>247</v>
      </c>
      <c r="B135" s="10" t="s">
        <v>248</v>
      </c>
      <c r="C135" s="5">
        <f>+C136</f>
        <v>1200</v>
      </c>
      <c r="D135" s="39">
        <f>+D136</f>
        <v>79.31</v>
      </c>
      <c r="E135" s="39">
        <f>+E136</f>
        <v>600</v>
      </c>
      <c r="F135" s="39">
        <f>+F136</f>
        <v>679.31</v>
      </c>
      <c r="G135" s="5">
        <f t="shared" si="5"/>
        <v>-520.69000000000005</v>
      </c>
      <c r="H135"/>
      <c r="I135"/>
    </row>
    <row r="136" spans="1:10" ht="15" customHeight="1">
      <c r="A136" s="3" t="s">
        <v>249</v>
      </c>
      <c r="B136" s="6" t="s">
        <v>250</v>
      </c>
      <c r="C136" s="37">
        <v>1200</v>
      </c>
      <c r="D136" s="44">
        <v>79.31</v>
      </c>
      <c r="E136" s="87">
        <v>600</v>
      </c>
      <c r="F136" s="87">
        <f>+D136+E136</f>
        <v>679.31</v>
      </c>
      <c r="G136" s="15">
        <f t="shared" si="5"/>
        <v>-520.69000000000005</v>
      </c>
    </row>
    <row r="137" spans="1:10" s="20" customFormat="1" ht="15" customHeight="1">
      <c r="A137" s="58" t="s">
        <v>251</v>
      </c>
      <c r="B137" s="59" t="s">
        <v>252</v>
      </c>
      <c r="C137" s="60">
        <f>+C138+C140+C141+C142+C143+C144</f>
        <v>2501600</v>
      </c>
      <c r="D137" s="60">
        <f>+D138+D140+D141+D142+D143+D144</f>
        <v>2996556.94</v>
      </c>
      <c r="E137" s="60">
        <f>+E138+E140+E141+E142+E143+E144</f>
        <v>3900522</v>
      </c>
      <c r="F137" s="60">
        <f>+F138+F140+F141+F142+F143+F144</f>
        <v>6897078.9399999995</v>
      </c>
      <c r="G137" s="60">
        <f t="shared" ref="G137:G206" si="8">+F137-C137</f>
        <v>4395478.9399999995</v>
      </c>
      <c r="H137"/>
      <c r="I137"/>
    </row>
    <row r="138" spans="1:10" s="20" customFormat="1" ht="15" customHeight="1">
      <c r="A138" s="2" t="s">
        <v>253</v>
      </c>
      <c r="B138" s="10" t="s">
        <v>254</v>
      </c>
      <c r="C138" s="5">
        <f>+C139</f>
        <v>1416500</v>
      </c>
      <c r="D138" s="5">
        <f>+D139</f>
        <v>822385.54</v>
      </c>
      <c r="E138" s="39">
        <f>+E139</f>
        <v>274128</v>
      </c>
      <c r="F138" s="39">
        <f>+F139</f>
        <v>1096513.54</v>
      </c>
      <c r="G138" s="5">
        <f t="shared" si="8"/>
        <v>-319986.45999999996</v>
      </c>
      <c r="H138"/>
      <c r="I138"/>
    </row>
    <row r="139" spans="1:10" ht="21.75" customHeight="1">
      <c r="A139" s="3" t="s">
        <v>255</v>
      </c>
      <c r="B139" s="6" t="s">
        <v>256</v>
      </c>
      <c r="C139" s="37">
        <v>1416500</v>
      </c>
      <c r="D139" s="44">
        <v>822385.54</v>
      </c>
      <c r="E139" s="87">
        <v>274128</v>
      </c>
      <c r="F139" s="87">
        <f t="shared" ref="F139:F144" si="9">+D139+E139</f>
        <v>1096513.54</v>
      </c>
      <c r="G139" s="15">
        <f t="shared" si="8"/>
        <v>-319986.45999999996</v>
      </c>
      <c r="H139" s="33"/>
    </row>
    <row r="140" spans="1:10" ht="15" customHeight="1">
      <c r="A140" s="3" t="s">
        <v>257</v>
      </c>
      <c r="B140" s="3" t="s">
        <v>258</v>
      </c>
      <c r="C140" s="37">
        <v>851000</v>
      </c>
      <c r="D140" s="44">
        <v>815121.4</v>
      </c>
      <c r="E140" s="87">
        <v>568494</v>
      </c>
      <c r="F140" s="87">
        <f t="shared" si="9"/>
        <v>1383615.4</v>
      </c>
      <c r="G140" s="15">
        <f t="shared" si="8"/>
        <v>532615.39999999991</v>
      </c>
      <c r="H140" s="30" t="s">
        <v>600</v>
      </c>
      <c r="I140" s="31" t="s">
        <v>600</v>
      </c>
      <c r="J140" s="31" t="s">
        <v>600</v>
      </c>
    </row>
    <row r="141" spans="1:10" ht="15" customHeight="1">
      <c r="A141" s="3" t="s">
        <v>259</v>
      </c>
      <c r="B141" s="6" t="s">
        <v>260</v>
      </c>
      <c r="C141" s="37">
        <v>3100</v>
      </c>
      <c r="D141" s="44">
        <v>1341750</v>
      </c>
      <c r="E141" s="87">
        <v>3047400</v>
      </c>
      <c r="F141" s="87">
        <f t="shared" si="9"/>
        <v>4389150</v>
      </c>
      <c r="G141" s="15">
        <f t="shared" si="8"/>
        <v>4386050</v>
      </c>
      <c r="H141" s="33"/>
    </row>
    <row r="142" spans="1:10" ht="15" customHeight="1">
      <c r="A142" s="3" t="s">
        <v>261</v>
      </c>
      <c r="B142" s="6" t="s">
        <v>262</v>
      </c>
      <c r="C142" s="37">
        <v>150000</v>
      </c>
      <c r="D142" s="44">
        <v>17300</v>
      </c>
      <c r="E142" s="87">
        <v>10000</v>
      </c>
      <c r="F142" s="87">
        <f t="shared" si="9"/>
        <v>27300</v>
      </c>
      <c r="G142" s="15">
        <f t="shared" si="8"/>
        <v>-122700</v>
      </c>
    </row>
    <row r="143" spans="1:10" ht="15" customHeight="1">
      <c r="A143" s="3" t="s">
        <v>263</v>
      </c>
      <c r="B143" s="6" t="s">
        <v>264</v>
      </c>
      <c r="C143" s="37">
        <v>1000</v>
      </c>
      <c r="D143" s="37">
        <v>0</v>
      </c>
      <c r="E143" s="87">
        <v>500</v>
      </c>
      <c r="F143" s="87">
        <f t="shared" si="9"/>
        <v>500</v>
      </c>
      <c r="G143" s="15">
        <f t="shared" si="8"/>
        <v>-500</v>
      </c>
    </row>
    <row r="144" spans="1:10" ht="15" customHeight="1">
      <c r="A144" s="3" t="s">
        <v>265</v>
      </c>
      <c r="B144" s="6" t="s">
        <v>266</v>
      </c>
      <c r="C144" s="37">
        <v>80000</v>
      </c>
      <c r="D144" s="37">
        <v>0</v>
      </c>
      <c r="E144" s="88">
        <f>D144/8*4</f>
        <v>0</v>
      </c>
      <c r="F144" s="87">
        <f t="shared" si="9"/>
        <v>0</v>
      </c>
      <c r="G144" s="15">
        <f t="shared" si="8"/>
        <v>-80000</v>
      </c>
    </row>
    <row r="145" spans="1:9" s="20" customFormat="1" ht="15" customHeight="1">
      <c r="A145" s="58" t="s">
        <v>267</v>
      </c>
      <c r="B145" s="58" t="s">
        <v>268</v>
      </c>
      <c r="C145" s="60">
        <f>+C146+C153+C156+C162+C165+C166</f>
        <v>11979500</v>
      </c>
      <c r="D145" s="60">
        <f>+D146+D153+D156+D162+D165+D166</f>
        <v>8050881.5300000003</v>
      </c>
      <c r="E145" s="60">
        <f>+E146+E153+E156+E162+E165+E166</f>
        <v>4503728.25</v>
      </c>
      <c r="F145" s="60">
        <f>+F146+F153+F156+F162+F165+F166</f>
        <v>12554609.780000001</v>
      </c>
      <c r="G145" s="60">
        <f t="shared" si="8"/>
        <v>575109.78000000119</v>
      </c>
      <c r="H145"/>
      <c r="I145"/>
    </row>
    <row r="146" spans="1:9" ht="15" customHeight="1">
      <c r="A146" s="2" t="s">
        <v>269</v>
      </c>
      <c r="B146" s="2" t="s">
        <v>270</v>
      </c>
      <c r="C146" s="5">
        <f>+C147+C148+C149+C150+C151+C152</f>
        <v>2030000</v>
      </c>
      <c r="D146" s="5">
        <f>+D147+D148+D149+D150+D151+D152</f>
        <v>2490462.4200000004</v>
      </c>
      <c r="E146" s="39">
        <f>+E147+E148+E149+E150+E151+E152</f>
        <v>522443</v>
      </c>
      <c r="F146" s="39">
        <f>+F147+F148+F149+F150+F151+F152</f>
        <v>3012905.4200000004</v>
      </c>
      <c r="G146" s="5">
        <f t="shared" si="8"/>
        <v>982905.42000000039</v>
      </c>
    </row>
    <row r="147" spans="1:9" ht="15" customHeight="1">
      <c r="A147" s="38" t="s">
        <v>612</v>
      </c>
      <c r="B147" s="38" t="s">
        <v>613</v>
      </c>
      <c r="C147" s="37">
        <v>0</v>
      </c>
      <c r="D147" s="44">
        <v>63999.99</v>
      </c>
      <c r="E147" s="61">
        <v>0</v>
      </c>
      <c r="F147" s="87">
        <f t="shared" ref="F147" si="10">+D147+E147</f>
        <v>63999.99</v>
      </c>
      <c r="G147" s="34">
        <f>+F147-C147</f>
        <v>63999.99</v>
      </c>
    </row>
    <row r="148" spans="1:9" s="19" customFormat="1" ht="15" customHeight="1">
      <c r="A148" s="35" t="s">
        <v>271</v>
      </c>
      <c r="B148" s="36" t="s">
        <v>272</v>
      </c>
      <c r="C148" s="37">
        <v>2000000</v>
      </c>
      <c r="D148" s="44">
        <v>1975000</v>
      </c>
      <c r="E148" s="87">
        <v>390000</v>
      </c>
      <c r="F148" s="87">
        <f>+D148+E148</f>
        <v>2365000</v>
      </c>
      <c r="G148" s="15">
        <f>+F148-C148</f>
        <v>365000</v>
      </c>
      <c r="H148"/>
      <c r="I148"/>
    </row>
    <row r="149" spans="1:9" ht="15" customHeight="1">
      <c r="A149" s="3" t="s">
        <v>273</v>
      </c>
      <c r="B149" s="6" t="s">
        <v>274</v>
      </c>
      <c r="C149" s="37">
        <v>30000</v>
      </c>
      <c r="D149" s="44">
        <v>518.87</v>
      </c>
      <c r="E149" s="87">
        <v>1500</v>
      </c>
      <c r="F149" s="87">
        <f>+D149+E149</f>
        <v>2018.87</v>
      </c>
      <c r="G149" s="15">
        <f>+F149-C149</f>
        <v>-27981.13</v>
      </c>
    </row>
    <row r="150" spans="1:9" ht="15" customHeight="1">
      <c r="A150" s="38" t="s">
        <v>614</v>
      </c>
      <c r="B150" s="38" t="s">
        <v>615</v>
      </c>
      <c r="C150" s="37">
        <v>0</v>
      </c>
      <c r="D150" s="44">
        <v>225000</v>
      </c>
      <c r="E150" s="87">
        <v>75000</v>
      </c>
      <c r="F150" s="87">
        <f t="shared" ref="F150:F152" si="11">+D150+E150</f>
        <v>300000</v>
      </c>
      <c r="G150" s="15">
        <f>+F150-C150</f>
        <v>300000</v>
      </c>
      <c r="H150" s="33"/>
    </row>
    <row r="151" spans="1:9" ht="15" customHeight="1">
      <c r="A151" s="38" t="s">
        <v>616</v>
      </c>
      <c r="B151" s="38" t="s">
        <v>617</v>
      </c>
      <c r="C151" s="37">
        <v>0</v>
      </c>
      <c r="D151" s="44">
        <v>170000</v>
      </c>
      <c r="E151" s="87">
        <v>0</v>
      </c>
      <c r="F151" s="87">
        <f t="shared" si="11"/>
        <v>170000</v>
      </c>
      <c r="G151" s="15">
        <f t="shared" si="8"/>
        <v>170000</v>
      </c>
    </row>
    <row r="152" spans="1:9" ht="15" customHeight="1">
      <c r="A152" s="38" t="s">
        <v>618</v>
      </c>
      <c r="B152" s="31" t="s">
        <v>697</v>
      </c>
      <c r="C152" s="37">
        <v>0</v>
      </c>
      <c r="D152" s="44">
        <v>55943.56</v>
      </c>
      <c r="E152" s="87">
        <v>55943</v>
      </c>
      <c r="F152" s="87">
        <f t="shared" si="11"/>
        <v>111886.56</v>
      </c>
      <c r="G152" s="15">
        <f t="shared" si="8"/>
        <v>111886.56</v>
      </c>
    </row>
    <row r="153" spans="1:9" s="20" customFormat="1" ht="15" customHeight="1">
      <c r="A153" s="2" t="s">
        <v>275</v>
      </c>
      <c r="B153" s="2" t="s">
        <v>276</v>
      </c>
      <c r="C153" s="5">
        <f t="shared" ref="C153:F154" si="12">+C154</f>
        <v>3000000</v>
      </c>
      <c r="D153" s="39">
        <f t="shared" si="12"/>
        <v>623000</v>
      </c>
      <c r="E153" s="39">
        <f t="shared" si="12"/>
        <v>2115000</v>
      </c>
      <c r="F153" s="39">
        <f t="shared" si="12"/>
        <v>2738000</v>
      </c>
      <c r="G153" s="5">
        <f t="shared" si="8"/>
        <v>-262000</v>
      </c>
      <c r="H153"/>
      <c r="I153"/>
    </row>
    <row r="154" spans="1:9" ht="15" customHeight="1">
      <c r="A154" s="2" t="s">
        <v>277</v>
      </c>
      <c r="B154" s="2" t="s">
        <v>278</v>
      </c>
      <c r="C154" s="5">
        <f t="shared" si="12"/>
        <v>3000000</v>
      </c>
      <c r="D154" s="39">
        <f t="shared" si="12"/>
        <v>623000</v>
      </c>
      <c r="E154" s="39">
        <f t="shared" si="12"/>
        <v>2115000</v>
      </c>
      <c r="F154" s="39">
        <f t="shared" si="12"/>
        <v>2738000</v>
      </c>
      <c r="G154" s="21">
        <f t="shared" si="8"/>
        <v>-262000</v>
      </c>
    </row>
    <row r="155" spans="1:9" ht="15" customHeight="1">
      <c r="A155" s="40" t="s">
        <v>279</v>
      </c>
      <c r="B155" s="3" t="s">
        <v>280</v>
      </c>
      <c r="C155" s="37">
        <v>3000000</v>
      </c>
      <c r="D155" s="66">
        <v>623000</v>
      </c>
      <c r="E155" s="87">
        <f>45000+40000+30000+2000000</f>
        <v>2115000</v>
      </c>
      <c r="F155" s="87">
        <f>+D155+E155</f>
        <v>2738000</v>
      </c>
      <c r="G155" s="15">
        <f t="shared" si="8"/>
        <v>-262000</v>
      </c>
      <c r="H155" s="33"/>
    </row>
    <row r="156" spans="1:9" s="20" customFormat="1" ht="15" customHeight="1">
      <c r="A156" s="2" t="s">
        <v>281</v>
      </c>
      <c r="B156" s="2" t="s">
        <v>282</v>
      </c>
      <c r="C156" s="5">
        <f>+C157+C160</f>
        <v>369500</v>
      </c>
      <c r="D156" s="39">
        <f>+D157+D160</f>
        <v>42666.65</v>
      </c>
      <c r="E156" s="39">
        <f>+E157+E160</f>
        <v>20000</v>
      </c>
      <c r="F156" s="39">
        <f>+F157+F160</f>
        <v>62666.65</v>
      </c>
      <c r="G156" s="5">
        <f t="shared" si="8"/>
        <v>-306833.34999999998</v>
      </c>
      <c r="H156"/>
      <c r="I156"/>
    </row>
    <row r="157" spans="1:9" ht="15" customHeight="1">
      <c r="A157" s="2" t="s">
        <v>283</v>
      </c>
      <c r="B157" s="10" t="s">
        <v>284</v>
      </c>
      <c r="C157" s="5">
        <f>+C158+C159</f>
        <v>189500</v>
      </c>
      <c r="D157" s="39">
        <f>+D158+D159</f>
        <v>14666.65</v>
      </c>
      <c r="E157" s="39">
        <f>+E158+E159</f>
        <v>10000</v>
      </c>
      <c r="F157" s="39">
        <f>+F158+F159</f>
        <v>24666.65</v>
      </c>
      <c r="G157" s="5">
        <f t="shared" si="8"/>
        <v>-164833.35</v>
      </c>
    </row>
    <row r="158" spans="1:9" ht="15" customHeight="1">
      <c r="A158" s="3" t="s">
        <v>285</v>
      </c>
      <c r="B158" s="6" t="s">
        <v>286</v>
      </c>
      <c r="C158" s="37">
        <v>95000</v>
      </c>
      <c r="D158" s="41">
        <v>14666.65</v>
      </c>
      <c r="E158" s="87">
        <v>10000</v>
      </c>
      <c r="F158" s="87">
        <f>+D158+E158</f>
        <v>24666.65</v>
      </c>
      <c r="G158" s="15">
        <f t="shared" si="8"/>
        <v>-70333.350000000006</v>
      </c>
    </row>
    <row r="159" spans="1:9" ht="15" customHeight="1">
      <c r="A159" s="3" t="s">
        <v>287</v>
      </c>
      <c r="B159" s="6" t="s">
        <v>288</v>
      </c>
      <c r="C159" s="7">
        <v>94500</v>
      </c>
      <c r="D159" s="37">
        <v>0</v>
      </c>
      <c r="E159" s="87">
        <v>0</v>
      </c>
      <c r="F159" s="87">
        <f>+D159+E159</f>
        <v>0</v>
      </c>
      <c r="G159" s="15">
        <f t="shared" si="8"/>
        <v>-94500</v>
      </c>
    </row>
    <row r="160" spans="1:9" s="20" customFormat="1" ht="15" customHeight="1">
      <c r="A160" s="2" t="s">
        <v>289</v>
      </c>
      <c r="B160" s="10" t="s">
        <v>290</v>
      </c>
      <c r="C160" s="5">
        <f>C161</f>
        <v>180000</v>
      </c>
      <c r="D160" s="5">
        <f>D161</f>
        <v>28000</v>
      </c>
      <c r="E160" s="39">
        <f>E161</f>
        <v>10000</v>
      </c>
      <c r="F160" s="39">
        <f>F161</f>
        <v>38000</v>
      </c>
      <c r="G160" s="5">
        <f t="shared" si="8"/>
        <v>-142000</v>
      </c>
      <c r="H160"/>
      <c r="I160"/>
    </row>
    <row r="161" spans="1:9" ht="15" customHeight="1">
      <c r="A161" s="3" t="s">
        <v>291</v>
      </c>
      <c r="B161" s="6" t="s">
        <v>286</v>
      </c>
      <c r="C161" s="7">
        <v>180000</v>
      </c>
      <c r="D161" s="37">
        <v>28000</v>
      </c>
      <c r="E161" s="87">
        <v>10000</v>
      </c>
      <c r="F161" s="87">
        <f>+D161+E161</f>
        <v>38000</v>
      </c>
      <c r="G161" s="15">
        <f t="shared" si="8"/>
        <v>-142000</v>
      </c>
    </row>
    <row r="162" spans="1:9" s="20" customFormat="1" ht="15" customHeight="1">
      <c r="A162" s="2" t="s">
        <v>292</v>
      </c>
      <c r="B162" s="2" t="s">
        <v>293</v>
      </c>
      <c r="C162" s="5">
        <f t="shared" ref="C162:F163" si="13">+C163</f>
        <v>20000</v>
      </c>
      <c r="D162" s="5">
        <f t="shared" si="13"/>
        <v>3124.03</v>
      </c>
      <c r="E162" s="39">
        <f t="shared" si="13"/>
        <v>2376</v>
      </c>
      <c r="F162" s="39">
        <f t="shared" si="13"/>
        <v>5500.0300000000007</v>
      </c>
      <c r="G162" s="5">
        <f t="shared" si="8"/>
        <v>-14499.97</v>
      </c>
      <c r="H162"/>
      <c r="I162"/>
    </row>
    <row r="163" spans="1:9" s="20" customFormat="1" ht="15" customHeight="1">
      <c r="A163" s="2" t="s">
        <v>294</v>
      </c>
      <c r="B163" s="2" t="s">
        <v>295</v>
      </c>
      <c r="C163" s="5">
        <f t="shared" si="13"/>
        <v>20000</v>
      </c>
      <c r="D163" s="39">
        <f t="shared" si="13"/>
        <v>3124.03</v>
      </c>
      <c r="E163" s="39">
        <f t="shared" si="13"/>
        <v>2376</v>
      </c>
      <c r="F163" s="39">
        <f t="shared" si="13"/>
        <v>5500.0300000000007</v>
      </c>
      <c r="G163" s="5">
        <f t="shared" si="8"/>
        <v>-14499.97</v>
      </c>
      <c r="H163"/>
      <c r="I163"/>
    </row>
    <row r="164" spans="1:9" ht="15" customHeight="1">
      <c r="A164" s="3" t="s">
        <v>296</v>
      </c>
      <c r="B164" s="3" t="s">
        <v>297</v>
      </c>
      <c r="C164" s="7">
        <v>20000</v>
      </c>
      <c r="D164" s="44">
        <v>3124.03</v>
      </c>
      <c r="E164" s="87">
        <f>792*3</f>
        <v>2376</v>
      </c>
      <c r="F164" s="87">
        <f>+D164+E164</f>
        <v>5500.0300000000007</v>
      </c>
      <c r="G164" s="15">
        <f t="shared" si="8"/>
        <v>-14499.97</v>
      </c>
    </row>
    <row r="165" spans="1:9" s="20" customFormat="1" ht="15" customHeight="1">
      <c r="A165" s="2" t="s">
        <v>298</v>
      </c>
      <c r="B165" s="10" t="s">
        <v>299</v>
      </c>
      <c r="C165" s="80">
        <v>4150000</v>
      </c>
      <c r="D165" s="44">
        <v>3657308.43</v>
      </c>
      <c r="E165" s="67">
        <f>1425408+1061.25</f>
        <v>1426469.25</v>
      </c>
      <c r="F165" s="67">
        <f>+D165+E165</f>
        <v>5083777.68</v>
      </c>
      <c r="G165" s="21">
        <f t="shared" si="8"/>
        <v>933777.6799999997</v>
      </c>
      <c r="H165" s="33">
        <f>+D165-3657308.43</f>
        <v>0</v>
      </c>
      <c r="I165"/>
    </row>
    <row r="166" spans="1:9" s="20" customFormat="1" ht="15" customHeight="1">
      <c r="A166" s="2" t="s">
        <v>300</v>
      </c>
      <c r="B166" s="2" t="s">
        <v>301</v>
      </c>
      <c r="C166" s="5">
        <f>+C167+C168+C169</f>
        <v>2410000</v>
      </c>
      <c r="D166" s="39">
        <f>+D167+D168+D169</f>
        <v>1234320</v>
      </c>
      <c r="E166" s="39">
        <f>+E167+E168+E169</f>
        <v>417440</v>
      </c>
      <c r="F166" s="39">
        <f>+F167+F168+F169</f>
        <v>1651760</v>
      </c>
      <c r="G166" s="5">
        <f t="shared" si="8"/>
        <v>-758240</v>
      </c>
      <c r="H166"/>
      <c r="I166"/>
    </row>
    <row r="167" spans="1:9" ht="15" customHeight="1">
      <c r="A167" s="3" t="s">
        <v>302</v>
      </c>
      <c r="B167" s="3" t="s">
        <v>303</v>
      </c>
      <c r="C167" s="37">
        <v>2400000</v>
      </c>
      <c r="D167" s="44">
        <v>1210320</v>
      </c>
      <c r="E167" s="87">
        <v>403440</v>
      </c>
      <c r="F167" s="87">
        <f>+D167+E167</f>
        <v>1613760</v>
      </c>
      <c r="G167" s="15">
        <f t="shared" si="8"/>
        <v>-786240</v>
      </c>
      <c r="H167" s="33"/>
    </row>
    <row r="168" spans="1:9" ht="15" customHeight="1">
      <c r="A168" s="3" t="s">
        <v>304</v>
      </c>
      <c r="B168" s="6" t="s">
        <v>305</v>
      </c>
      <c r="C168" s="37">
        <v>10000</v>
      </c>
      <c r="D168" s="37">
        <v>0</v>
      </c>
      <c r="E168" s="87">
        <v>2000</v>
      </c>
      <c r="F168" s="87">
        <f>+D168+E168</f>
        <v>2000</v>
      </c>
      <c r="G168" s="15">
        <f t="shared" si="8"/>
        <v>-8000</v>
      </c>
    </row>
    <row r="169" spans="1:9" ht="15" customHeight="1">
      <c r="A169" s="3" t="s">
        <v>306</v>
      </c>
      <c r="B169" s="32" t="s">
        <v>698</v>
      </c>
      <c r="C169" s="7">
        <v>0</v>
      </c>
      <c r="D169" s="37">
        <v>24000</v>
      </c>
      <c r="E169" s="87">
        <v>12000</v>
      </c>
      <c r="F169" s="87">
        <f>+D169+E169</f>
        <v>36000</v>
      </c>
      <c r="G169" s="15">
        <f t="shared" si="8"/>
        <v>36000</v>
      </c>
    </row>
    <row r="170" spans="1:9" s="20" customFormat="1" ht="15" customHeight="1">
      <c r="A170" s="58" t="s">
        <v>308</v>
      </c>
      <c r="B170" s="59" t="s">
        <v>309</v>
      </c>
      <c r="C170" s="60">
        <f>+C171+C177+C183+C185</f>
        <v>27722800</v>
      </c>
      <c r="D170" s="60">
        <f>+D171+D177+D183+D185</f>
        <v>25348108.409999996</v>
      </c>
      <c r="E170" s="60">
        <f>+E171+E177+E183+E185</f>
        <v>8559632</v>
      </c>
      <c r="F170" s="60">
        <f>+F171+F177+F183+F185</f>
        <v>33907740.409999996</v>
      </c>
      <c r="G170" s="60">
        <f t="shared" si="8"/>
        <v>6184940.4099999964</v>
      </c>
      <c r="H170"/>
      <c r="I170"/>
    </row>
    <row r="171" spans="1:9" s="20" customFormat="1" ht="15" customHeight="1">
      <c r="A171" s="2" t="s">
        <v>310</v>
      </c>
      <c r="B171" s="10" t="s">
        <v>311</v>
      </c>
      <c r="C171" s="5">
        <f>+C172+C173+C174+C175+C176</f>
        <v>4865600</v>
      </c>
      <c r="D171" s="5">
        <f>+D172+D173+D174+D175+D176</f>
        <v>479151.92999999993</v>
      </c>
      <c r="E171" s="39">
        <f>+E172+E173+E174+E175+E176</f>
        <v>1239654</v>
      </c>
      <c r="F171" s="39">
        <f>+F172+F173+F174+F175+F176</f>
        <v>1718805.9300000002</v>
      </c>
      <c r="G171" s="5">
        <f t="shared" si="8"/>
        <v>-3146794.07</v>
      </c>
      <c r="H171"/>
      <c r="I171"/>
    </row>
    <row r="172" spans="1:9" ht="15" customHeight="1">
      <c r="A172" s="3" t="s">
        <v>312</v>
      </c>
      <c r="B172" s="6" t="s">
        <v>313</v>
      </c>
      <c r="C172" s="37">
        <v>744000</v>
      </c>
      <c r="D172" s="44">
        <v>426389.97</v>
      </c>
      <c r="E172" s="77">
        <v>135276</v>
      </c>
      <c r="F172" s="87">
        <f>+D172+E172</f>
        <v>561665.97</v>
      </c>
      <c r="G172" s="15">
        <f t="shared" si="8"/>
        <v>-182334.03000000003</v>
      </c>
    </row>
    <row r="173" spans="1:9" ht="15" customHeight="1">
      <c r="A173" s="3" t="s">
        <v>314</v>
      </c>
      <c r="B173" s="6" t="s">
        <v>315</v>
      </c>
      <c r="C173" s="37">
        <v>12000</v>
      </c>
      <c r="D173" s="44">
        <v>8499.89</v>
      </c>
      <c r="E173" s="87">
        <v>2848</v>
      </c>
      <c r="F173" s="87">
        <f>+D173+E173</f>
        <v>11347.89</v>
      </c>
      <c r="G173" s="15">
        <f t="shared" si="8"/>
        <v>-652.11000000000058</v>
      </c>
    </row>
    <row r="174" spans="1:9" ht="15" customHeight="1">
      <c r="A174" s="3" t="s">
        <v>316</v>
      </c>
      <c r="B174" s="83" t="s">
        <v>317</v>
      </c>
      <c r="C174" s="95">
        <v>2600000</v>
      </c>
      <c r="D174" s="66">
        <v>0</v>
      </c>
      <c r="E174" s="87">
        <v>0</v>
      </c>
      <c r="F174" s="87">
        <f>+D174+E174</f>
        <v>0</v>
      </c>
      <c r="G174" s="15">
        <f t="shared" si="8"/>
        <v>-2600000</v>
      </c>
    </row>
    <row r="175" spans="1:9" ht="15" customHeight="1">
      <c r="A175" s="3" t="s">
        <v>318</v>
      </c>
      <c r="B175" s="6" t="s">
        <v>319</v>
      </c>
      <c r="C175" s="7">
        <v>1500000</v>
      </c>
      <c r="D175" s="44">
        <v>37160.97</v>
      </c>
      <c r="E175" s="87">
        <v>1100000</v>
      </c>
      <c r="F175" s="87">
        <f>+D175+E175</f>
        <v>1137160.97</v>
      </c>
      <c r="G175" s="15">
        <f t="shared" si="8"/>
        <v>-362839.03</v>
      </c>
    </row>
    <row r="176" spans="1:9" ht="15" customHeight="1">
      <c r="A176" s="3" t="s">
        <v>320</v>
      </c>
      <c r="B176" s="6" t="s">
        <v>321</v>
      </c>
      <c r="C176" s="37">
        <v>9600</v>
      </c>
      <c r="D176" s="44">
        <v>7101.1</v>
      </c>
      <c r="E176" s="87">
        <v>1530</v>
      </c>
      <c r="F176" s="87">
        <f>+D176+E176</f>
        <v>8631.1</v>
      </c>
      <c r="G176" s="15">
        <f t="shared" si="8"/>
        <v>-968.89999999999964</v>
      </c>
    </row>
    <row r="177" spans="1:9" s="20" customFormat="1" ht="15" customHeight="1">
      <c r="A177" s="2" t="s">
        <v>322</v>
      </c>
      <c r="B177" s="58" t="s">
        <v>323</v>
      </c>
      <c r="C177" s="60">
        <f>+C178+C180+C181+C182+C179</f>
        <v>15807200</v>
      </c>
      <c r="D177" s="60">
        <f>+D178+D180+D181+D182+D179</f>
        <v>13412497.459999999</v>
      </c>
      <c r="E177" s="60">
        <f>+E178+E180+E181+E182+E179</f>
        <v>2635223</v>
      </c>
      <c r="F177" s="60">
        <f>+F178+F180+F181+F182+F179</f>
        <v>16047720.459999999</v>
      </c>
      <c r="G177" s="60">
        <f t="shared" si="8"/>
        <v>240520.45999999903</v>
      </c>
      <c r="H177"/>
      <c r="I177"/>
    </row>
    <row r="178" spans="1:9" ht="15" customHeight="1">
      <c r="A178" s="3" t="s">
        <v>324</v>
      </c>
      <c r="B178" s="6" t="s">
        <v>325</v>
      </c>
      <c r="C178" s="37">
        <v>2500000</v>
      </c>
      <c r="D178" s="44">
        <v>1750518.6</v>
      </c>
      <c r="E178" s="87">
        <v>970000</v>
      </c>
      <c r="F178" s="87">
        <f t="shared" ref="F178:F184" si="14">+D178+E178</f>
        <v>2720518.6</v>
      </c>
      <c r="G178" s="15">
        <f t="shared" si="8"/>
        <v>220518.60000000009</v>
      </c>
      <c r="H178" s="33"/>
    </row>
    <row r="179" spans="1:9" ht="15" customHeight="1">
      <c r="A179" s="38" t="s">
        <v>620</v>
      </c>
      <c r="B179" s="31" t="s">
        <v>621</v>
      </c>
      <c r="C179" s="37">
        <v>0</v>
      </c>
      <c r="D179" s="44">
        <v>158</v>
      </c>
      <c r="E179" s="87">
        <v>200</v>
      </c>
      <c r="F179" s="87">
        <f t="shared" si="14"/>
        <v>358</v>
      </c>
      <c r="G179" s="15">
        <f t="shared" si="8"/>
        <v>358</v>
      </c>
      <c r="H179" s="98"/>
    </row>
    <row r="180" spans="1:9" ht="15" customHeight="1">
      <c r="A180" s="3" t="s">
        <v>326</v>
      </c>
      <c r="B180" s="81" t="s">
        <v>327</v>
      </c>
      <c r="C180" s="37">
        <v>13000000</v>
      </c>
      <c r="D180" s="44">
        <v>10265697</v>
      </c>
      <c r="E180" s="87">
        <v>1392000</v>
      </c>
      <c r="F180" s="87">
        <f t="shared" si="14"/>
        <v>11657697</v>
      </c>
      <c r="G180" s="15">
        <f t="shared" si="8"/>
        <v>-1342303</v>
      </c>
      <c r="H180" s="33"/>
    </row>
    <row r="181" spans="1:9" ht="19.5" customHeight="1">
      <c r="A181" s="3" t="s">
        <v>328</v>
      </c>
      <c r="B181" s="6" t="s">
        <v>329</v>
      </c>
      <c r="C181" s="37">
        <v>7200</v>
      </c>
      <c r="D181" s="44">
        <v>1394650.24</v>
      </c>
      <c r="E181" s="87">
        <v>272223</v>
      </c>
      <c r="F181" s="87">
        <f t="shared" si="14"/>
        <v>1666873.24</v>
      </c>
      <c r="G181" s="15">
        <f t="shared" si="8"/>
        <v>1659673.24</v>
      </c>
    </row>
    <row r="182" spans="1:9" ht="15" customHeight="1">
      <c r="A182" s="3" t="s">
        <v>330</v>
      </c>
      <c r="B182" s="6" t="s">
        <v>331</v>
      </c>
      <c r="C182" s="37">
        <v>300000</v>
      </c>
      <c r="D182" s="44">
        <v>1473.62</v>
      </c>
      <c r="E182" s="87">
        <v>800</v>
      </c>
      <c r="F182" s="87">
        <f t="shared" si="14"/>
        <v>2273.62</v>
      </c>
      <c r="G182" s="15">
        <f t="shared" si="8"/>
        <v>-297726.38</v>
      </c>
    </row>
    <row r="183" spans="1:9" ht="15" customHeight="1">
      <c r="A183" s="49" t="s">
        <v>666</v>
      </c>
      <c r="B183" s="20" t="s">
        <v>667</v>
      </c>
      <c r="C183" s="21">
        <f>C184</f>
        <v>50000</v>
      </c>
      <c r="D183" s="21">
        <f>D184</f>
        <v>600</v>
      </c>
      <c r="E183" s="67">
        <f>E184</f>
        <v>300</v>
      </c>
      <c r="F183" s="87">
        <f t="shared" si="14"/>
        <v>900</v>
      </c>
      <c r="G183" s="15">
        <f t="shared" si="8"/>
        <v>-49100</v>
      </c>
    </row>
    <row r="184" spans="1:9" ht="15" customHeight="1">
      <c r="A184" s="38" t="s">
        <v>622</v>
      </c>
      <c r="B184" s="32" t="s">
        <v>602</v>
      </c>
      <c r="C184" s="37">
        <v>50000</v>
      </c>
      <c r="D184" s="44">
        <v>600</v>
      </c>
      <c r="E184" s="87">
        <f>D184/8*4</f>
        <v>300</v>
      </c>
      <c r="F184" s="87">
        <f t="shared" si="14"/>
        <v>900</v>
      </c>
      <c r="G184" s="15">
        <f t="shared" si="8"/>
        <v>-49100</v>
      </c>
    </row>
    <row r="185" spans="1:9" s="20" customFormat="1" ht="15" customHeight="1">
      <c r="A185" s="2" t="s">
        <v>332</v>
      </c>
      <c r="B185" s="2" t="s">
        <v>333</v>
      </c>
      <c r="C185" s="5">
        <f>+C186</f>
        <v>7000000</v>
      </c>
      <c r="D185" s="39">
        <f>+D186</f>
        <v>11455859.02</v>
      </c>
      <c r="E185" s="39">
        <f>+E186</f>
        <v>4684455</v>
      </c>
      <c r="F185" s="39">
        <f>+F186</f>
        <v>16140314.02</v>
      </c>
      <c r="G185" s="5">
        <f t="shared" si="8"/>
        <v>9140314.0199999996</v>
      </c>
      <c r="H185"/>
      <c r="I185"/>
    </row>
    <row r="186" spans="1:9" ht="21.75" customHeight="1">
      <c r="A186" s="38" t="s">
        <v>334</v>
      </c>
      <c r="B186" s="82" t="s">
        <v>335</v>
      </c>
      <c r="C186" s="37">
        <v>7000000</v>
      </c>
      <c r="D186" s="41">
        <v>11455859.02</v>
      </c>
      <c r="E186" s="87">
        <v>4684455</v>
      </c>
      <c r="F186" s="87">
        <f>+D186+E186</f>
        <v>16140314.02</v>
      </c>
      <c r="G186" s="15">
        <f t="shared" si="8"/>
        <v>9140314.0199999996</v>
      </c>
      <c r="H186" s="33"/>
    </row>
    <row r="187" spans="1:9" ht="7.5" customHeight="1">
      <c r="G187" s="31" t="s">
        <v>600</v>
      </c>
    </row>
    <row r="188" spans="1:9" s="19" customFormat="1" ht="15" customHeight="1">
      <c r="A188" s="58" t="s">
        <v>336</v>
      </c>
      <c r="B188" s="58" t="s">
        <v>337</v>
      </c>
      <c r="C188" s="60">
        <f>+C189+C193+C195+C199+C203+C205+C210</f>
        <v>17296000</v>
      </c>
      <c r="D188" s="60">
        <f>+D189+D193+D195+D199+D203+D205+D210</f>
        <v>19345041.75</v>
      </c>
      <c r="E188" s="60">
        <f>+E189+E193+E195+E199+E203+E205+E210</f>
        <v>13278822.84</v>
      </c>
      <c r="F188" s="60">
        <f>+F189+F193+F195+F199+F203+F205+F210</f>
        <v>32623864.59</v>
      </c>
      <c r="G188" s="60">
        <f t="shared" si="8"/>
        <v>15327864.59</v>
      </c>
      <c r="H188"/>
      <c r="I188"/>
    </row>
    <row r="189" spans="1:9" ht="15" customHeight="1">
      <c r="A189" s="2" t="s">
        <v>338</v>
      </c>
      <c r="B189" s="2" t="s">
        <v>339</v>
      </c>
      <c r="C189" s="5">
        <f>+C190+C191+C192</f>
        <v>550000</v>
      </c>
      <c r="D189" s="5">
        <f>+D190+D191+D192</f>
        <v>602435.59</v>
      </c>
      <c r="E189" s="39">
        <f>+E190+E191+E192</f>
        <v>424973.49</v>
      </c>
      <c r="F189" s="39">
        <f>+F190+F191+F192</f>
        <v>1027409.08</v>
      </c>
      <c r="G189" s="5">
        <f t="shared" si="8"/>
        <v>477409.07999999996</v>
      </c>
    </row>
    <row r="190" spans="1:9" ht="15" customHeight="1">
      <c r="A190" s="3" t="s">
        <v>340</v>
      </c>
      <c r="B190" s="6" t="s">
        <v>341</v>
      </c>
      <c r="C190" s="37">
        <v>50000</v>
      </c>
      <c r="D190" s="41">
        <v>64771.42</v>
      </c>
      <c r="E190" s="87">
        <v>15000</v>
      </c>
      <c r="F190" s="87">
        <f>+D190+E190</f>
        <v>79771.42</v>
      </c>
      <c r="G190" s="15">
        <f t="shared" si="8"/>
        <v>29771.42</v>
      </c>
    </row>
    <row r="191" spans="1:9" ht="15" customHeight="1">
      <c r="A191" s="3" t="s">
        <v>342</v>
      </c>
      <c r="B191" s="3" t="s">
        <v>343</v>
      </c>
      <c r="C191" s="37">
        <v>500000</v>
      </c>
      <c r="D191" s="41">
        <v>402664.17</v>
      </c>
      <c r="E191" s="34">
        <v>342473.49</v>
      </c>
      <c r="F191" s="87">
        <f>+D191+E191</f>
        <v>745137.65999999992</v>
      </c>
      <c r="G191" s="15">
        <f t="shared" si="8"/>
        <v>245137.65999999992</v>
      </c>
      <c r="H191" s="33"/>
      <c r="I191">
        <f>+H191*3</f>
        <v>0</v>
      </c>
    </row>
    <row r="192" spans="1:9" ht="15" customHeight="1">
      <c r="A192" s="38" t="s">
        <v>623</v>
      </c>
      <c r="B192" s="38" t="s">
        <v>624</v>
      </c>
      <c r="C192" s="37">
        <v>0</v>
      </c>
      <c r="D192" s="41">
        <v>135000</v>
      </c>
      <c r="E192" s="34">
        <f>D192/8*4</f>
        <v>67500</v>
      </c>
      <c r="F192" s="87">
        <f>+D192+E192</f>
        <v>202500</v>
      </c>
      <c r="G192" s="15">
        <f t="shared" si="8"/>
        <v>202500</v>
      </c>
    </row>
    <row r="193" spans="1:9" ht="15" customHeight="1">
      <c r="A193" s="2" t="s">
        <v>344</v>
      </c>
      <c r="B193" s="2" t="s">
        <v>345</v>
      </c>
      <c r="C193" s="5">
        <f>+C194</f>
        <v>80000</v>
      </c>
      <c r="D193" s="39">
        <f>+D194</f>
        <v>31888.15</v>
      </c>
      <c r="E193" s="18">
        <f>+E194</f>
        <v>151392</v>
      </c>
      <c r="F193" s="39">
        <f>+F194</f>
        <v>183280.15</v>
      </c>
      <c r="G193" s="5">
        <f t="shared" si="8"/>
        <v>103280.15</v>
      </c>
    </row>
    <row r="194" spans="1:9" s="19" customFormat="1" ht="15" customHeight="1">
      <c r="A194" s="35" t="s">
        <v>346</v>
      </c>
      <c r="B194" s="36" t="s">
        <v>347</v>
      </c>
      <c r="C194" s="37">
        <v>80000</v>
      </c>
      <c r="D194" s="41">
        <v>31888.15</v>
      </c>
      <c r="E194" s="34">
        <v>151392</v>
      </c>
      <c r="F194" s="87">
        <f>+D194+E194</f>
        <v>183280.15</v>
      </c>
      <c r="G194" s="34">
        <f t="shared" si="8"/>
        <v>103280.15</v>
      </c>
      <c r="H194" s="33"/>
      <c r="I194"/>
    </row>
    <row r="195" spans="1:9" ht="15" customHeight="1">
      <c r="A195" s="2" t="s">
        <v>348</v>
      </c>
      <c r="B195" s="2" t="s">
        <v>349</v>
      </c>
      <c r="C195" s="5">
        <f>+C196+C197+C198</f>
        <v>325000</v>
      </c>
      <c r="D195" s="39">
        <f>+D196+D197+D198</f>
        <v>0</v>
      </c>
      <c r="E195" s="39">
        <f>+E196+E197+E198</f>
        <v>0</v>
      </c>
      <c r="F195" s="39">
        <f>+F196+F197+F198</f>
        <v>0</v>
      </c>
      <c r="G195" s="5">
        <f t="shared" si="8"/>
        <v>-325000</v>
      </c>
    </row>
    <row r="196" spans="1:9" ht="15" customHeight="1">
      <c r="A196" s="3" t="s">
        <v>350</v>
      </c>
      <c r="B196" s="6" t="s">
        <v>351</v>
      </c>
      <c r="C196" s="37">
        <v>10000</v>
      </c>
      <c r="D196" s="41">
        <v>0</v>
      </c>
      <c r="E196" s="87">
        <v>0</v>
      </c>
      <c r="F196" s="87">
        <f>+D196+E196</f>
        <v>0</v>
      </c>
      <c r="G196" s="15">
        <f t="shared" si="8"/>
        <v>-10000</v>
      </c>
    </row>
    <row r="197" spans="1:9" ht="15" customHeight="1">
      <c r="A197" s="3" t="s">
        <v>352</v>
      </c>
      <c r="B197" s="6" t="s">
        <v>353</v>
      </c>
      <c r="C197" s="37">
        <v>280000</v>
      </c>
      <c r="D197" s="41">
        <v>0</v>
      </c>
      <c r="E197" s="87">
        <v>0</v>
      </c>
      <c r="F197" s="87">
        <f>+D197+E197</f>
        <v>0</v>
      </c>
      <c r="G197" s="15">
        <f t="shared" si="8"/>
        <v>-280000</v>
      </c>
    </row>
    <row r="198" spans="1:9" ht="15" customHeight="1">
      <c r="A198" s="3" t="s">
        <v>354</v>
      </c>
      <c r="B198" s="6" t="s">
        <v>355</v>
      </c>
      <c r="C198" s="37">
        <v>35000</v>
      </c>
      <c r="D198" s="41">
        <v>0</v>
      </c>
      <c r="E198" s="87">
        <v>0</v>
      </c>
      <c r="F198" s="87">
        <f>+D198+E198</f>
        <v>0</v>
      </c>
      <c r="G198" s="15">
        <f t="shared" si="8"/>
        <v>-35000</v>
      </c>
    </row>
    <row r="199" spans="1:9" s="20" customFormat="1" ht="15" customHeight="1">
      <c r="A199" s="2" t="s">
        <v>356</v>
      </c>
      <c r="B199" s="2" t="s">
        <v>357</v>
      </c>
      <c r="C199" s="5">
        <f>+C200</f>
        <v>3200000</v>
      </c>
      <c r="D199" s="39">
        <f>+D200+D201+D202</f>
        <v>2254451.84</v>
      </c>
      <c r="E199" s="39">
        <f>+E200+E201+E202</f>
        <v>2384934</v>
      </c>
      <c r="F199" s="39">
        <f>+F200+F201+F202</f>
        <v>4639385.84</v>
      </c>
      <c r="G199" s="5">
        <f t="shared" si="8"/>
        <v>1439385.8399999999</v>
      </c>
      <c r="H199"/>
      <c r="I199"/>
    </row>
    <row r="200" spans="1:9" ht="15" customHeight="1">
      <c r="A200" s="3" t="s">
        <v>358</v>
      </c>
      <c r="B200" s="6" t="s">
        <v>359</v>
      </c>
      <c r="C200" s="37">
        <v>3200000</v>
      </c>
      <c r="D200" s="41">
        <v>2253173</v>
      </c>
      <c r="E200" s="87">
        <v>1350000</v>
      </c>
      <c r="F200" s="87">
        <f>+D200+E200</f>
        <v>3603173</v>
      </c>
      <c r="G200" s="15">
        <f t="shared" si="8"/>
        <v>403173</v>
      </c>
      <c r="H200" s="33"/>
    </row>
    <row r="201" spans="1:9" ht="15" customHeight="1">
      <c r="A201" s="94" t="s">
        <v>693</v>
      </c>
      <c r="B201" s="32" t="s">
        <v>694</v>
      </c>
      <c r="C201" s="37">
        <v>0</v>
      </c>
      <c r="D201" s="41">
        <v>1028.8399999999999</v>
      </c>
      <c r="E201" s="87">
        <f>525384+300000</f>
        <v>825384</v>
      </c>
      <c r="F201" s="87">
        <f>+D201+E201</f>
        <v>826412.84</v>
      </c>
      <c r="G201" s="15">
        <f t="shared" si="8"/>
        <v>826412.84</v>
      </c>
      <c r="H201" s="30"/>
    </row>
    <row r="202" spans="1:9" ht="15" customHeight="1">
      <c r="A202" s="94" t="s">
        <v>696</v>
      </c>
      <c r="B202" s="32" t="s">
        <v>695</v>
      </c>
      <c r="C202" s="37">
        <v>0</v>
      </c>
      <c r="D202" s="41">
        <v>250</v>
      </c>
      <c r="E202" s="87">
        <v>209550</v>
      </c>
      <c r="F202" s="87">
        <f>+D202+E202</f>
        <v>209800</v>
      </c>
      <c r="G202" s="15">
        <f t="shared" si="8"/>
        <v>209800</v>
      </c>
    </row>
    <row r="203" spans="1:9" s="20" customFormat="1" ht="15" customHeight="1">
      <c r="A203" s="2" t="s">
        <v>360</v>
      </c>
      <c r="B203" s="2" t="s">
        <v>361</v>
      </c>
      <c r="C203" s="5">
        <f>+C204</f>
        <v>12000000</v>
      </c>
      <c r="D203" s="39">
        <f>+D204</f>
        <v>11505021.84</v>
      </c>
      <c r="E203" s="39">
        <f>+E204</f>
        <v>6419565</v>
      </c>
      <c r="F203" s="39">
        <f>+F204</f>
        <v>17924586.84</v>
      </c>
      <c r="G203" s="5">
        <f t="shared" si="8"/>
        <v>5924586.8399999999</v>
      </c>
      <c r="H203"/>
      <c r="I203"/>
    </row>
    <row r="204" spans="1:9" ht="15" customHeight="1">
      <c r="A204" s="3" t="s">
        <v>362</v>
      </c>
      <c r="B204" s="6" t="s">
        <v>363</v>
      </c>
      <c r="C204" s="37">
        <v>12000000</v>
      </c>
      <c r="D204" s="41">
        <v>11505021.84</v>
      </c>
      <c r="E204" s="87">
        <v>6419565</v>
      </c>
      <c r="F204" s="87">
        <f>+D204+E204</f>
        <v>17924586.84</v>
      </c>
      <c r="G204" s="15">
        <f t="shared" si="8"/>
        <v>5924586.8399999999</v>
      </c>
      <c r="H204" s="33"/>
    </row>
    <row r="205" spans="1:9" s="20" customFormat="1" ht="15" customHeight="1">
      <c r="A205" s="2" t="s">
        <v>364</v>
      </c>
      <c r="B205" s="2" t="s">
        <v>365</v>
      </c>
      <c r="C205" s="5">
        <f>+C206+C207+C209+C208</f>
        <v>1130000</v>
      </c>
      <c r="D205" s="39">
        <f>+D206+D207+D209+D208</f>
        <v>4947623.6300000008</v>
      </c>
      <c r="E205" s="39">
        <f>+E206+E207+E209+E208</f>
        <v>3896148</v>
      </c>
      <c r="F205" s="39">
        <f>+F206+F207+F209+F208</f>
        <v>8843771.6300000008</v>
      </c>
      <c r="G205" s="5">
        <f t="shared" si="8"/>
        <v>7713771.6300000008</v>
      </c>
      <c r="H205"/>
      <c r="I205"/>
    </row>
    <row r="206" spans="1:9" ht="15" customHeight="1">
      <c r="A206" s="3" t="s">
        <v>366</v>
      </c>
      <c r="B206" s="6" t="s">
        <v>367</v>
      </c>
      <c r="C206" s="37">
        <v>650000</v>
      </c>
      <c r="D206" s="41">
        <v>782698.03</v>
      </c>
      <c r="E206" s="87">
        <v>334839</v>
      </c>
      <c r="F206" s="87">
        <f>+D206+E206</f>
        <v>1117537.03</v>
      </c>
      <c r="G206" s="15">
        <f t="shared" si="8"/>
        <v>467537.03</v>
      </c>
      <c r="H206" s="30"/>
    </row>
    <row r="207" spans="1:9" ht="15" customHeight="1">
      <c r="A207" s="3" t="s">
        <v>368</v>
      </c>
      <c r="B207" s="3" t="s">
        <v>369</v>
      </c>
      <c r="C207" s="37">
        <v>480000</v>
      </c>
      <c r="D207" s="41">
        <v>2400000</v>
      </c>
      <c r="E207" s="87">
        <v>1800000</v>
      </c>
      <c r="F207" s="87">
        <f t="shared" ref="F207:F209" si="15">+D207+E207</f>
        <v>4200000</v>
      </c>
      <c r="G207" s="15">
        <f t="shared" ref="G207:G275" si="16">+F207-C207</f>
        <v>3720000</v>
      </c>
      <c r="H207" s="33"/>
    </row>
    <row r="208" spans="1:9" ht="15" customHeight="1">
      <c r="A208" s="38" t="s">
        <v>625</v>
      </c>
      <c r="B208" s="38" t="s">
        <v>626</v>
      </c>
      <c r="C208" s="37">
        <v>0</v>
      </c>
      <c r="D208" s="41">
        <v>1608925.6</v>
      </c>
      <c r="E208" s="87">
        <v>1293309</v>
      </c>
      <c r="F208" s="87">
        <f t="shared" si="15"/>
        <v>2902234.6</v>
      </c>
      <c r="G208" s="15">
        <f t="shared" si="16"/>
        <v>2902234.6</v>
      </c>
    </row>
    <row r="209" spans="1:9" ht="15" customHeight="1">
      <c r="A209" s="38" t="s">
        <v>628</v>
      </c>
      <c r="B209" s="38" t="s">
        <v>627</v>
      </c>
      <c r="C209" s="7">
        <v>0</v>
      </c>
      <c r="D209" s="37">
        <v>156000</v>
      </c>
      <c r="E209" s="87">
        <v>468000</v>
      </c>
      <c r="F209" s="87">
        <f t="shared" si="15"/>
        <v>624000</v>
      </c>
      <c r="G209" s="15">
        <f t="shared" si="16"/>
        <v>624000</v>
      </c>
    </row>
    <row r="210" spans="1:9" s="20" customFormat="1" ht="15" customHeight="1">
      <c r="A210" s="2" t="s">
        <v>370</v>
      </c>
      <c r="B210" s="10" t="s">
        <v>371</v>
      </c>
      <c r="C210" s="21">
        <v>11000</v>
      </c>
      <c r="D210" s="21">
        <v>3620.7</v>
      </c>
      <c r="E210" s="67">
        <f>D210/8*4</f>
        <v>1810.35</v>
      </c>
      <c r="F210" s="67">
        <f>+D210+E210</f>
        <v>5431.0499999999993</v>
      </c>
      <c r="G210" s="21">
        <f t="shared" si="16"/>
        <v>-5568.9500000000007</v>
      </c>
      <c r="H210"/>
      <c r="I210"/>
    </row>
    <row r="211" spans="1:9" ht="15" customHeight="1">
      <c r="A211" s="58" t="s">
        <v>372</v>
      </c>
      <c r="B211" s="59" t="s">
        <v>373</v>
      </c>
      <c r="C211" s="60">
        <f>+C212+C213+C214+C221+C222+C223+C224</f>
        <v>2117500</v>
      </c>
      <c r="D211" s="60">
        <f>+D212+D213+D214+D221+D222+D223+D224</f>
        <v>3192780.99</v>
      </c>
      <c r="E211" s="60">
        <f>+E212+E213+E214+E221+E222+E223+E224</f>
        <v>13396463</v>
      </c>
      <c r="F211" s="60">
        <f>+F212+F213+F214+F221+F222+F223+F224</f>
        <v>16589243.99</v>
      </c>
      <c r="G211" s="60">
        <f t="shared" si="16"/>
        <v>14471743.99</v>
      </c>
      <c r="H211" s="33"/>
    </row>
    <row r="212" spans="1:9" ht="15" customHeight="1">
      <c r="A212" s="3" t="s">
        <v>374</v>
      </c>
      <c r="B212" s="6" t="s">
        <v>375</v>
      </c>
      <c r="C212" s="95">
        <v>100000</v>
      </c>
      <c r="D212" s="41">
        <v>200839.18</v>
      </c>
      <c r="E212" s="87">
        <v>167241</v>
      </c>
      <c r="F212" s="87">
        <f>+D212+E212</f>
        <v>368080.18</v>
      </c>
      <c r="G212" s="15">
        <f t="shared" si="16"/>
        <v>268080.18</v>
      </c>
    </row>
    <row r="213" spans="1:9" ht="15" customHeight="1">
      <c r="A213" s="3" t="s">
        <v>376</v>
      </c>
      <c r="B213" s="6" t="s">
        <v>377</v>
      </c>
      <c r="C213" s="37">
        <v>205000</v>
      </c>
      <c r="D213" s="41">
        <v>207414.46</v>
      </c>
      <c r="E213" s="87">
        <v>92674</v>
      </c>
      <c r="F213" s="87">
        <f>+D213+E213</f>
        <v>300088.45999999996</v>
      </c>
      <c r="G213" s="15">
        <f t="shared" si="16"/>
        <v>95088.459999999963</v>
      </c>
    </row>
    <row r="214" spans="1:9" s="20" customFormat="1" ht="15" customHeight="1">
      <c r="A214" s="2" t="s">
        <v>378</v>
      </c>
      <c r="B214" s="10" t="s">
        <v>379</v>
      </c>
      <c r="C214" s="5">
        <f>SUBTOTAL(9,C215:C220)</f>
        <v>1650000</v>
      </c>
      <c r="D214" s="5">
        <f>SUBTOTAL(9,D215:D220)</f>
        <v>2784527.35</v>
      </c>
      <c r="E214" s="39">
        <f>SUBTOTAL(9,E215:E220)</f>
        <v>13136548</v>
      </c>
      <c r="F214" s="39">
        <f>SUBTOTAL(9,F215:F220)</f>
        <v>15921075.35</v>
      </c>
      <c r="G214" s="5">
        <f t="shared" si="16"/>
        <v>14271075.35</v>
      </c>
      <c r="H214"/>
      <c r="I214"/>
    </row>
    <row r="215" spans="1:9" ht="15" customHeight="1">
      <c r="A215" s="3" t="s">
        <v>380</v>
      </c>
      <c r="B215" s="6" t="s">
        <v>381</v>
      </c>
      <c r="C215" s="37">
        <v>200000</v>
      </c>
      <c r="D215" s="37">
        <v>8620.7000000000007</v>
      </c>
      <c r="E215" s="87">
        <v>25860</v>
      </c>
      <c r="F215" s="87">
        <f t="shared" ref="F215:F223" si="17">+D215+E215</f>
        <v>34480.699999999997</v>
      </c>
      <c r="G215" s="15">
        <f t="shared" si="16"/>
        <v>-165519.29999999999</v>
      </c>
    </row>
    <row r="216" spans="1:9" ht="15" customHeight="1">
      <c r="A216" s="3" t="s">
        <v>382</v>
      </c>
      <c r="B216" s="6" t="s">
        <v>383</v>
      </c>
      <c r="C216" s="37">
        <v>100000</v>
      </c>
      <c r="D216" s="37">
        <v>0</v>
      </c>
      <c r="E216" s="87">
        <f>+D216/8*4</f>
        <v>0</v>
      </c>
      <c r="F216" s="87">
        <f t="shared" si="17"/>
        <v>0</v>
      </c>
      <c r="G216" s="15">
        <f t="shared" si="16"/>
        <v>-100000</v>
      </c>
    </row>
    <row r="217" spans="1:9" s="19" customFormat="1" ht="15" customHeight="1">
      <c r="A217" s="35" t="s">
        <v>384</v>
      </c>
      <c r="B217" s="36" t="s">
        <v>385</v>
      </c>
      <c r="C217" s="37">
        <v>200000</v>
      </c>
      <c r="D217" s="37">
        <v>0</v>
      </c>
      <c r="E217" s="87">
        <v>0</v>
      </c>
      <c r="F217" s="87">
        <f t="shared" si="17"/>
        <v>0</v>
      </c>
      <c r="G217" s="34">
        <f t="shared" si="16"/>
        <v>-200000</v>
      </c>
      <c r="H217"/>
      <c r="I217"/>
    </row>
    <row r="218" spans="1:9" ht="15" customHeight="1">
      <c r="A218" s="3" t="s">
        <v>386</v>
      </c>
      <c r="B218" s="6" t="s">
        <v>387</v>
      </c>
      <c r="C218" s="37">
        <v>350000</v>
      </c>
      <c r="D218" s="37">
        <v>0</v>
      </c>
      <c r="E218" s="87">
        <f>+D218/8*4</f>
        <v>0</v>
      </c>
      <c r="F218" s="87">
        <f t="shared" si="17"/>
        <v>0</v>
      </c>
      <c r="G218" s="15">
        <f t="shared" si="16"/>
        <v>-350000</v>
      </c>
    </row>
    <row r="219" spans="1:9" ht="15" customHeight="1">
      <c r="A219" s="3" t="s">
        <v>388</v>
      </c>
      <c r="B219" s="6" t="s">
        <v>389</v>
      </c>
      <c r="C219" s="7">
        <v>0</v>
      </c>
      <c r="D219" s="41">
        <v>24300</v>
      </c>
      <c r="E219" s="87">
        <v>60000</v>
      </c>
      <c r="F219" s="87">
        <f t="shared" si="17"/>
        <v>84300</v>
      </c>
      <c r="G219" s="15">
        <f t="shared" si="16"/>
        <v>84300</v>
      </c>
    </row>
    <row r="220" spans="1:9" ht="15" customHeight="1">
      <c r="A220" s="3" t="s">
        <v>390</v>
      </c>
      <c r="B220" s="6" t="s">
        <v>391</v>
      </c>
      <c r="C220" s="37">
        <v>800000</v>
      </c>
      <c r="D220" s="41">
        <v>2751606.65</v>
      </c>
      <c r="E220" s="87">
        <f>50688+13000000</f>
        <v>13050688</v>
      </c>
      <c r="F220" s="87">
        <f t="shared" si="17"/>
        <v>15802294.65</v>
      </c>
      <c r="G220" s="15">
        <f t="shared" si="16"/>
        <v>15002294.65</v>
      </c>
    </row>
    <row r="221" spans="1:9" s="20" customFormat="1" ht="15" customHeight="1">
      <c r="A221" s="2" t="s">
        <v>392</v>
      </c>
      <c r="B221" s="2" t="s">
        <v>393</v>
      </c>
      <c r="C221" s="37">
        <v>2300</v>
      </c>
      <c r="D221" s="5">
        <v>0</v>
      </c>
      <c r="E221" s="67">
        <f t="shared" ref="E221:E222" si="18">+D221/8*4</f>
        <v>0</v>
      </c>
      <c r="F221" s="67">
        <f t="shared" si="17"/>
        <v>0</v>
      </c>
      <c r="G221" s="21">
        <f t="shared" si="16"/>
        <v>-2300</v>
      </c>
      <c r="H221"/>
      <c r="I221"/>
    </row>
    <row r="222" spans="1:9" s="20" customFormat="1" ht="15" customHeight="1">
      <c r="A222" s="2" t="s">
        <v>394</v>
      </c>
      <c r="B222" s="2" t="s">
        <v>395</v>
      </c>
      <c r="C222" s="37">
        <v>84000</v>
      </c>
      <c r="D222" s="5">
        <v>0</v>
      </c>
      <c r="E222" s="67">
        <f t="shared" si="18"/>
        <v>0</v>
      </c>
      <c r="F222" s="67">
        <f t="shared" si="17"/>
        <v>0</v>
      </c>
      <c r="G222" s="21">
        <f t="shared" si="16"/>
        <v>-84000</v>
      </c>
      <c r="H222"/>
      <c r="I222"/>
    </row>
    <row r="223" spans="1:9" s="20" customFormat="1" ht="15" customHeight="1">
      <c r="A223" s="2" t="s">
        <v>396</v>
      </c>
      <c r="B223" s="2" t="s">
        <v>397</v>
      </c>
      <c r="C223" s="37">
        <v>3200</v>
      </c>
      <c r="D223" s="5">
        <v>0</v>
      </c>
      <c r="E223" s="67">
        <f>+D223/8*4</f>
        <v>0</v>
      </c>
      <c r="F223" s="67">
        <f t="shared" si="17"/>
        <v>0</v>
      </c>
      <c r="G223" s="21">
        <f t="shared" si="16"/>
        <v>-3200</v>
      </c>
      <c r="H223"/>
      <c r="I223"/>
    </row>
    <row r="224" spans="1:9" s="20" customFormat="1" ht="15" customHeight="1">
      <c r="A224" s="2" t="s">
        <v>398</v>
      </c>
      <c r="B224" s="10" t="s">
        <v>399</v>
      </c>
      <c r="C224" s="5">
        <f>+C225+C226</f>
        <v>73000</v>
      </c>
      <c r="D224" s="5">
        <f>+D225+D226</f>
        <v>0</v>
      </c>
      <c r="E224" s="39">
        <f>+E225+E226</f>
        <v>0</v>
      </c>
      <c r="F224" s="39">
        <f>+F225+F226</f>
        <v>0</v>
      </c>
      <c r="G224" s="5">
        <f t="shared" si="16"/>
        <v>-73000</v>
      </c>
      <c r="H224"/>
      <c r="I224"/>
    </row>
    <row r="225" spans="1:9" ht="15.75" customHeight="1">
      <c r="A225" s="3" t="s">
        <v>400</v>
      </c>
      <c r="B225" s="6" t="s">
        <v>401</v>
      </c>
      <c r="C225" s="37">
        <v>53000</v>
      </c>
      <c r="D225" s="37">
        <v>0</v>
      </c>
      <c r="E225" s="87">
        <f>D225/8*4</f>
        <v>0</v>
      </c>
      <c r="F225" s="87">
        <f>+D225+E225</f>
        <v>0</v>
      </c>
      <c r="G225" s="15">
        <f t="shared" si="16"/>
        <v>-53000</v>
      </c>
    </row>
    <row r="226" spans="1:9" ht="15" customHeight="1">
      <c r="A226" s="3" t="s">
        <v>402</v>
      </c>
      <c r="B226" s="6" t="s">
        <v>399</v>
      </c>
      <c r="C226" s="37">
        <v>20000</v>
      </c>
      <c r="D226" s="37">
        <v>0</v>
      </c>
      <c r="E226" s="87">
        <f>D226/8*4</f>
        <v>0</v>
      </c>
      <c r="F226" s="87">
        <f>+D226+E226</f>
        <v>0</v>
      </c>
      <c r="G226" s="15">
        <f t="shared" si="16"/>
        <v>-20000</v>
      </c>
    </row>
    <row r="227" spans="1:9" ht="15" customHeight="1">
      <c r="A227" s="58" t="s">
        <v>403</v>
      </c>
      <c r="B227" s="59" t="s">
        <v>404</v>
      </c>
      <c r="C227" s="60">
        <f>+C228+C229+C230+C232</f>
        <v>203000</v>
      </c>
      <c r="D227" s="60">
        <f>+D228+D229+D230+D232</f>
        <v>484502.13</v>
      </c>
      <c r="E227" s="60">
        <f>+E228+E229+E230+E232</f>
        <v>411652</v>
      </c>
      <c r="F227" s="60">
        <f>+F228+F229+F230+F232</f>
        <v>896154.13</v>
      </c>
      <c r="G227" s="60">
        <f t="shared" si="16"/>
        <v>693154.13</v>
      </c>
      <c r="H227" s="33"/>
    </row>
    <row r="228" spans="1:9" ht="15" customHeight="1">
      <c r="A228" s="3" t="s">
        <v>405</v>
      </c>
      <c r="B228" s="6" t="s">
        <v>406</v>
      </c>
      <c r="C228" s="37">
        <v>53000</v>
      </c>
      <c r="D228" s="41">
        <v>12216.38</v>
      </c>
      <c r="E228" s="87">
        <v>10000</v>
      </c>
      <c r="F228" s="87">
        <f>+D228+E228</f>
        <v>22216.379999999997</v>
      </c>
      <c r="G228" s="15">
        <f t="shared" si="16"/>
        <v>-30783.620000000003</v>
      </c>
    </row>
    <row r="229" spans="1:9" ht="15" customHeight="1">
      <c r="A229" s="3" t="s">
        <v>407</v>
      </c>
      <c r="B229" s="6" t="s">
        <v>408</v>
      </c>
      <c r="C229" s="37">
        <v>50000</v>
      </c>
      <c r="D229" s="41">
        <v>11335.77</v>
      </c>
      <c r="E229" s="87">
        <v>6000</v>
      </c>
      <c r="F229" s="87">
        <f>+D229+E229</f>
        <v>17335.77</v>
      </c>
      <c r="G229" s="15">
        <f t="shared" si="16"/>
        <v>-32664.23</v>
      </c>
    </row>
    <row r="230" spans="1:9" ht="15" customHeight="1">
      <c r="A230" s="2" t="s">
        <v>409</v>
      </c>
      <c r="B230" s="10" t="s">
        <v>410</v>
      </c>
      <c r="C230" s="5">
        <f>+C231</f>
        <v>100000</v>
      </c>
      <c r="D230" s="39">
        <f>+D231</f>
        <v>460237.98</v>
      </c>
      <c r="E230" s="39">
        <f>+E231</f>
        <v>394852</v>
      </c>
      <c r="F230" s="39">
        <f>+F231</f>
        <v>855089.98</v>
      </c>
      <c r="G230" s="5">
        <f t="shared" si="16"/>
        <v>755089.98</v>
      </c>
    </row>
    <row r="231" spans="1:9" ht="15" customHeight="1">
      <c r="A231" s="3" t="s">
        <v>411</v>
      </c>
      <c r="B231" s="6" t="s">
        <v>412</v>
      </c>
      <c r="C231" s="37">
        <v>100000</v>
      </c>
      <c r="D231" s="41">
        <v>460237.98</v>
      </c>
      <c r="E231" s="87">
        <f>364852+30000</f>
        <v>394852</v>
      </c>
      <c r="F231" s="87">
        <f>+D231+E231</f>
        <v>855089.98</v>
      </c>
      <c r="G231" s="15">
        <f t="shared" si="16"/>
        <v>755089.98</v>
      </c>
      <c r="H231" t="s">
        <v>600</v>
      </c>
    </row>
    <row r="232" spans="1:9" ht="15" customHeight="1">
      <c r="A232" s="2" t="s">
        <v>413</v>
      </c>
      <c r="B232" s="10" t="s">
        <v>414</v>
      </c>
      <c r="C232" s="5">
        <f>+C233</f>
        <v>0</v>
      </c>
      <c r="D232" s="39">
        <f>+D233</f>
        <v>712</v>
      </c>
      <c r="E232" s="39">
        <f>+E233</f>
        <v>800</v>
      </c>
      <c r="F232" s="39">
        <f>+F233</f>
        <v>1512</v>
      </c>
      <c r="G232" s="5">
        <f t="shared" si="16"/>
        <v>1512</v>
      </c>
      <c r="H232" s="5" t="s">
        <v>600</v>
      </c>
    </row>
    <row r="233" spans="1:9" ht="15" customHeight="1">
      <c r="A233" s="2" t="s">
        <v>415</v>
      </c>
      <c r="B233" s="10" t="s">
        <v>416</v>
      </c>
      <c r="C233" s="29">
        <v>0</v>
      </c>
      <c r="D233" s="41">
        <v>712</v>
      </c>
      <c r="E233" s="87">
        <v>800</v>
      </c>
      <c r="F233" s="87">
        <f>+D233+E233</f>
        <v>1512</v>
      </c>
      <c r="G233" s="15">
        <f t="shared" si="16"/>
        <v>1512</v>
      </c>
      <c r="H233" t="s">
        <v>600</v>
      </c>
    </row>
    <row r="234" spans="1:9" s="20" customFormat="1" ht="15" customHeight="1">
      <c r="A234" s="58" t="s">
        <v>417</v>
      </c>
      <c r="B234" s="59" t="s">
        <v>418</v>
      </c>
      <c r="C234" s="60">
        <f>+C235+C238+C239</f>
        <v>250000</v>
      </c>
      <c r="D234" s="60">
        <f>+D235+D238+D239</f>
        <v>56369</v>
      </c>
      <c r="E234" s="60">
        <f>+E235+E238+E239</f>
        <v>23850</v>
      </c>
      <c r="F234" s="60">
        <f>+F235+F238+F239</f>
        <v>80219</v>
      </c>
      <c r="G234" s="60">
        <f t="shared" si="16"/>
        <v>-169781</v>
      </c>
      <c r="H234"/>
      <c r="I234"/>
    </row>
    <row r="235" spans="1:9" s="20" customFormat="1" ht="14.25" customHeight="1">
      <c r="A235" s="2" t="s">
        <v>419</v>
      </c>
      <c r="B235" s="10" t="s">
        <v>420</v>
      </c>
      <c r="C235" s="5">
        <f>+C236+C237</f>
        <v>90000</v>
      </c>
      <c r="D235" s="5">
        <f>+D236+D237</f>
        <v>0</v>
      </c>
      <c r="E235" s="39">
        <f>+E236+E237</f>
        <v>0</v>
      </c>
      <c r="F235" s="39">
        <f>+F236+F237</f>
        <v>0</v>
      </c>
      <c r="G235" s="5">
        <f t="shared" si="16"/>
        <v>-90000</v>
      </c>
      <c r="H235"/>
      <c r="I235"/>
    </row>
    <row r="236" spans="1:9" ht="15" customHeight="1">
      <c r="A236" s="3" t="s">
        <v>421</v>
      </c>
      <c r="B236" s="6" t="s">
        <v>422</v>
      </c>
      <c r="C236" s="37">
        <v>50000</v>
      </c>
      <c r="D236" s="7">
        <v>0</v>
      </c>
      <c r="E236" s="87">
        <v>0</v>
      </c>
      <c r="F236" s="87">
        <f>+D236+E236</f>
        <v>0</v>
      </c>
      <c r="G236" s="15">
        <f t="shared" si="16"/>
        <v>-50000</v>
      </c>
    </row>
    <row r="237" spans="1:9" ht="15" customHeight="1">
      <c r="A237" s="3" t="s">
        <v>423</v>
      </c>
      <c r="B237" s="6" t="s">
        <v>424</v>
      </c>
      <c r="C237" s="37">
        <v>40000</v>
      </c>
      <c r="D237" s="7">
        <v>0</v>
      </c>
      <c r="E237" s="87">
        <f>D237/8*4</f>
        <v>0</v>
      </c>
      <c r="F237" s="87">
        <f>+D237+E237</f>
        <v>0</v>
      </c>
      <c r="G237" s="15">
        <f t="shared" si="16"/>
        <v>-40000</v>
      </c>
    </row>
    <row r="238" spans="1:9" s="20" customFormat="1" ht="15" customHeight="1">
      <c r="A238" s="2" t="s">
        <v>425</v>
      </c>
      <c r="B238" s="10" t="s">
        <v>426</v>
      </c>
      <c r="C238" s="37">
        <v>90000</v>
      </c>
      <c r="D238" s="37">
        <v>15000</v>
      </c>
      <c r="E238" s="67">
        <f>+D238/8*4</f>
        <v>7500</v>
      </c>
      <c r="F238" s="67">
        <f>+D238+E238</f>
        <v>22500</v>
      </c>
      <c r="G238" s="21">
        <f t="shared" si="16"/>
        <v>-67500</v>
      </c>
      <c r="H238"/>
      <c r="I238"/>
    </row>
    <row r="239" spans="1:9" s="20" customFormat="1" ht="15" customHeight="1">
      <c r="A239" s="2" t="s">
        <v>427</v>
      </c>
      <c r="B239" s="10" t="s">
        <v>428</v>
      </c>
      <c r="C239" s="5">
        <f>+C240</f>
        <v>70000</v>
      </c>
      <c r="D239" s="5">
        <f>+D240</f>
        <v>41369</v>
      </c>
      <c r="E239" s="39">
        <f>+E240</f>
        <v>16350</v>
      </c>
      <c r="F239" s="39">
        <f>+F240</f>
        <v>57719</v>
      </c>
      <c r="G239" s="5">
        <f t="shared" si="16"/>
        <v>-12281</v>
      </c>
      <c r="H239"/>
      <c r="I239"/>
    </row>
    <row r="240" spans="1:9" ht="15" customHeight="1">
      <c r="A240" s="3" t="s">
        <v>429</v>
      </c>
      <c r="B240" s="6" t="s">
        <v>430</v>
      </c>
      <c r="C240" s="37">
        <v>70000</v>
      </c>
      <c r="D240" s="30">
        <v>41369</v>
      </c>
      <c r="E240" s="87">
        <v>16350</v>
      </c>
      <c r="F240" s="87">
        <f>+D240+E240</f>
        <v>57719</v>
      </c>
      <c r="G240" s="15">
        <f t="shared" si="16"/>
        <v>-12281</v>
      </c>
    </row>
    <row r="241" spans="1:9" s="20" customFormat="1" ht="15" customHeight="1">
      <c r="A241" s="58" t="s">
        <v>431</v>
      </c>
      <c r="B241" s="59" t="s">
        <v>432</v>
      </c>
      <c r="C241" s="60">
        <f>+C242+C244+C251+C273+C278+C279+C281</f>
        <v>413711500</v>
      </c>
      <c r="D241" s="60">
        <f>+D242+D244+D251+D273+D278+D279+D281</f>
        <v>201542303.56</v>
      </c>
      <c r="E241" s="60">
        <f>+E242+E244+E251+E273+E278+E279+E281</f>
        <v>93916613.614999995</v>
      </c>
      <c r="F241" s="60">
        <f>+F242+F244+F251+F273+F278+F279+F281</f>
        <v>295458917.17500007</v>
      </c>
      <c r="G241" s="60">
        <f t="shared" si="16"/>
        <v>-118252582.82499993</v>
      </c>
      <c r="H241"/>
      <c r="I241"/>
    </row>
    <row r="242" spans="1:9" s="20" customFormat="1" ht="15" customHeight="1">
      <c r="A242" s="2" t="s">
        <v>433</v>
      </c>
      <c r="B242" s="10" t="s">
        <v>434</v>
      </c>
      <c r="C242" s="5">
        <f>+C243</f>
        <v>93000</v>
      </c>
      <c r="D242" s="39">
        <f>+D243</f>
        <v>60250</v>
      </c>
      <c r="E242" s="39">
        <f>+E243</f>
        <v>38300</v>
      </c>
      <c r="F242" s="39">
        <f>+F243</f>
        <v>98550</v>
      </c>
      <c r="G242" s="5">
        <f t="shared" si="16"/>
        <v>5550</v>
      </c>
      <c r="H242"/>
      <c r="I242"/>
    </row>
    <row r="243" spans="1:9" ht="15" customHeight="1">
      <c r="A243" s="3" t="s">
        <v>435</v>
      </c>
      <c r="B243" s="6" t="s">
        <v>434</v>
      </c>
      <c r="C243" s="66">
        <v>93000</v>
      </c>
      <c r="D243" s="41">
        <v>60250</v>
      </c>
      <c r="E243" s="87">
        <v>38300</v>
      </c>
      <c r="F243" s="87">
        <f>+D243+E243</f>
        <v>98550</v>
      </c>
      <c r="G243" s="15">
        <f t="shared" si="16"/>
        <v>5550</v>
      </c>
    </row>
    <row r="244" spans="1:9" s="20" customFormat="1" ht="15" customHeight="1">
      <c r="A244" s="58" t="s">
        <v>436</v>
      </c>
      <c r="B244" s="59" t="s">
        <v>437</v>
      </c>
      <c r="C244" s="60">
        <f>+C245+C249</f>
        <v>70453500</v>
      </c>
      <c r="D244" s="60">
        <f>+D245+D249</f>
        <v>49665853.740000002</v>
      </c>
      <c r="E244" s="60">
        <f>+E245+E249</f>
        <v>18086344</v>
      </c>
      <c r="F244" s="60">
        <f>+F245+F249</f>
        <v>67752197.74000001</v>
      </c>
      <c r="G244" s="60">
        <f t="shared" si="16"/>
        <v>-2701302.2599999905</v>
      </c>
      <c r="H244"/>
      <c r="I244"/>
    </row>
    <row r="245" spans="1:9" s="20" customFormat="1" ht="15" customHeight="1">
      <c r="A245" s="2" t="s">
        <v>438</v>
      </c>
      <c r="B245" s="10" t="s">
        <v>437</v>
      </c>
      <c r="C245" s="5">
        <f>C246+C247+C248</f>
        <v>70093500</v>
      </c>
      <c r="D245" s="39">
        <f>D246+D247+D248</f>
        <v>49416469.740000002</v>
      </c>
      <c r="E245" s="39">
        <f>+E246+E247+E248</f>
        <v>18076344</v>
      </c>
      <c r="F245" s="39">
        <f>+F246+F247+F248</f>
        <v>67492813.74000001</v>
      </c>
      <c r="G245" s="5">
        <f t="shared" si="16"/>
        <v>-2600686.2599999905</v>
      </c>
      <c r="H245"/>
      <c r="I245"/>
    </row>
    <row r="246" spans="1:9" ht="15" customHeight="1">
      <c r="A246" s="3" t="s">
        <v>439</v>
      </c>
      <c r="B246" s="6" t="s">
        <v>440</v>
      </c>
      <c r="C246" s="37">
        <v>50000000</v>
      </c>
      <c r="D246" s="41">
        <v>36259232.740000002</v>
      </c>
      <c r="E246" s="41">
        <v>12848553</v>
      </c>
      <c r="F246" s="87">
        <f>+D246+E246</f>
        <v>49107785.740000002</v>
      </c>
      <c r="G246" s="15">
        <f t="shared" si="16"/>
        <v>-892214.25999999791</v>
      </c>
    </row>
    <row r="247" spans="1:9" ht="15" customHeight="1">
      <c r="A247" s="3" t="s">
        <v>441</v>
      </c>
      <c r="B247" s="6" t="s">
        <v>442</v>
      </c>
      <c r="C247" s="37">
        <v>20000000</v>
      </c>
      <c r="D247" s="41">
        <v>13135207.99</v>
      </c>
      <c r="E247" s="87">
        <v>5223291</v>
      </c>
      <c r="F247" s="87">
        <f>+D247+E247</f>
        <v>18358498.990000002</v>
      </c>
      <c r="G247" s="15">
        <f t="shared" si="16"/>
        <v>-1641501.0099999979</v>
      </c>
    </row>
    <row r="248" spans="1:9" ht="15" customHeight="1">
      <c r="A248" s="3" t="s">
        <v>443</v>
      </c>
      <c r="B248" s="6" t="s">
        <v>444</v>
      </c>
      <c r="C248" s="66">
        <v>93500</v>
      </c>
      <c r="D248" s="41">
        <v>22029.01</v>
      </c>
      <c r="E248" s="87">
        <v>4500</v>
      </c>
      <c r="F248" s="87">
        <f>+D248+E248</f>
        <v>26529.01</v>
      </c>
      <c r="G248" s="15">
        <f t="shared" si="16"/>
        <v>-66970.990000000005</v>
      </c>
    </row>
    <row r="249" spans="1:9" ht="15" customHeight="1">
      <c r="A249" s="3" t="s">
        <v>445</v>
      </c>
      <c r="B249" s="3" t="s">
        <v>446</v>
      </c>
      <c r="C249" s="67">
        <v>360000</v>
      </c>
      <c r="D249" s="67">
        <f>D250</f>
        <v>249384</v>
      </c>
      <c r="E249" s="39">
        <f>+E250</f>
        <v>10000</v>
      </c>
      <c r="F249" s="67">
        <f t="shared" ref="F249:F272" si="19">+D249+E249</f>
        <v>259384</v>
      </c>
      <c r="G249" s="5">
        <f t="shared" si="16"/>
        <v>-100616</v>
      </c>
    </row>
    <row r="250" spans="1:9" ht="15" customHeight="1">
      <c r="A250" s="3" t="s">
        <v>447</v>
      </c>
      <c r="B250" s="6" t="s">
        <v>448</v>
      </c>
      <c r="C250" s="66">
        <v>360000</v>
      </c>
      <c r="D250" s="41">
        <v>249384</v>
      </c>
      <c r="E250" s="87">
        <v>10000</v>
      </c>
      <c r="F250" s="87">
        <f t="shared" si="19"/>
        <v>259384</v>
      </c>
      <c r="G250" s="15">
        <f t="shared" si="16"/>
        <v>-100616</v>
      </c>
    </row>
    <row r="251" spans="1:9" s="20" customFormat="1" ht="15" customHeight="1">
      <c r="A251" s="58" t="s">
        <v>449</v>
      </c>
      <c r="B251" s="58" t="s">
        <v>450</v>
      </c>
      <c r="C251" s="60">
        <f>+C252+C263+C264+C265+C266+C267+C268+C269</f>
        <v>4003000</v>
      </c>
      <c r="D251" s="60">
        <f>+D252+D263+D264+D265+D266+D267+D268+D269</f>
        <v>1399245.6099999999</v>
      </c>
      <c r="E251" s="60">
        <f>+E252+E263+E264+E265+E266+E267+E268+E269</f>
        <v>2150894.895</v>
      </c>
      <c r="F251" s="60">
        <f>+F252+F263+F264+F265+F266+F267+F268+F269</f>
        <v>3550140.5049999999</v>
      </c>
      <c r="G251" s="60">
        <f t="shared" si="16"/>
        <v>-452859.49500000011</v>
      </c>
      <c r="H251"/>
      <c r="I251"/>
    </row>
    <row r="252" spans="1:9" ht="15" customHeight="1">
      <c r="A252" s="3" t="s">
        <v>451</v>
      </c>
      <c r="B252" s="75" t="s">
        <v>452</v>
      </c>
      <c r="C252" s="37">
        <v>4000000</v>
      </c>
      <c r="D252" s="41">
        <v>0</v>
      </c>
      <c r="E252" s="87">
        <f>D252/8*4</f>
        <v>0</v>
      </c>
      <c r="F252" s="87">
        <f t="shared" si="19"/>
        <v>0</v>
      </c>
      <c r="G252" s="15">
        <f t="shared" si="16"/>
        <v>-4000000</v>
      </c>
    </row>
    <row r="253" spans="1:9" ht="15" hidden="1" customHeight="1">
      <c r="A253" s="3" t="s">
        <v>453</v>
      </c>
      <c r="B253" s="6" t="s">
        <v>454</v>
      </c>
      <c r="C253" s="7">
        <v>0</v>
      </c>
      <c r="D253" s="41">
        <v>94400.98</v>
      </c>
      <c r="E253" s="87">
        <f>+D253/8*4</f>
        <v>47200.49</v>
      </c>
      <c r="F253" s="87">
        <f t="shared" si="19"/>
        <v>141601.47</v>
      </c>
      <c r="G253" s="15">
        <f t="shared" si="16"/>
        <v>141601.47</v>
      </c>
    </row>
    <row r="254" spans="1:9" ht="15" hidden="1" customHeight="1">
      <c r="A254" s="3" t="s">
        <v>455</v>
      </c>
      <c r="B254" s="6" t="s">
        <v>44</v>
      </c>
      <c r="C254" s="7">
        <v>0</v>
      </c>
      <c r="D254" s="41">
        <v>189129.41</v>
      </c>
      <c r="E254" s="89">
        <v>339023</v>
      </c>
      <c r="F254" s="87">
        <f t="shared" si="19"/>
        <v>528152.41</v>
      </c>
      <c r="G254" s="15">
        <f t="shared" si="16"/>
        <v>528152.41</v>
      </c>
    </row>
    <row r="255" spans="1:9" ht="15" hidden="1" customHeight="1">
      <c r="A255" s="3" t="s">
        <v>456</v>
      </c>
      <c r="B255" s="6" t="s">
        <v>457</v>
      </c>
      <c r="C255" s="7">
        <v>0</v>
      </c>
      <c r="D255" s="41">
        <v>25852.95</v>
      </c>
      <c r="E255" s="89">
        <v>245216</v>
      </c>
      <c r="F255" s="87">
        <f t="shared" si="19"/>
        <v>271068.95</v>
      </c>
      <c r="G255" s="15">
        <f t="shared" si="16"/>
        <v>271068.95</v>
      </c>
    </row>
    <row r="256" spans="1:9" ht="15" hidden="1" customHeight="1">
      <c r="A256" s="3" t="s">
        <v>458</v>
      </c>
      <c r="B256" s="6" t="s">
        <v>40</v>
      </c>
      <c r="C256" s="7">
        <v>0</v>
      </c>
      <c r="D256" s="41">
        <v>23900.58</v>
      </c>
      <c r="E256" s="89">
        <v>98783</v>
      </c>
      <c r="F256" s="87">
        <f t="shared" si="19"/>
        <v>122683.58</v>
      </c>
      <c r="G256" s="15">
        <f t="shared" si="16"/>
        <v>122683.58</v>
      </c>
    </row>
    <row r="257" spans="1:9" ht="15" hidden="1" customHeight="1">
      <c r="A257" s="3" t="s">
        <v>459</v>
      </c>
      <c r="B257" s="6" t="s">
        <v>460</v>
      </c>
      <c r="C257" s="7">
        <v>0</v>
      </c>
      <c r="D257" s="41">
        <v>187962.05</v>
      </c>
      <c r="E257" s="87">
        <v>162467</v>
      </c>
      <c r="F257" s="87">
        <f t="shared" si="19"/>
        <v>350429.05</v>
      </c>
      <c r="G257" s="15">
        <f t="shared" si="16"/>
        <v>350429.05</v>
      </c>
    </row>
    <row r="258" spans="1:9" ht="23.25" hidden="1" customHeight="1">
      <c r="A258" s="3" t="s">
        <v>461</v>
      </c>
      <c r="B258" s="6" t="s">
        <v>462</v>
      </c>
      <c r="C258" s="7">
        <v>0</v>
      </c>
      <c r="D258" s="41">
        <v>947.67</v>
      </c>
      <c r="E258" s="87">
        <v>512227</v>
      </c>
      <c r="F258" s="87">
        <f t="shared" si="19"/>
        <v>513174.67</v>
      </c>
      <c r="G258" s="15">
        <f t="shared" si="16"/>
        <v>513174.67</v>
      </c>
    </row>
    <row r="259" spans="1:9" ht="15" hidden="1" customHeight="1">
      <c r="A259" s="3" t="s">
        <v>463</v>
      </c>
      <c r="B259" s="3" t="s">
        <v>464</v>
      </c>
      <c r="C259" s="7">
        <v>0</v>
      </c>
      <c r="D259" s="68">
        <v>5560.98</v>
      </c>
      <c r="E259" s="87">
        <v>85898</v>
      </c>
      <c r="F259" s="87">
        <f t="shared" si="19"/>
        <v>91458.98</v>
      </c>
      <c r="G259" s="15">
        <f t="shared" si="16"/>
        <v>91458.98</v>
      </c>
    </row>
    <row r="260" spans="1:9" ht="15" hidden="1" customHeight="1">
      <c r="A260" s="3" t="s">
        <v>465</v>
      </c>
      <c r="B260" s="6" t="s">
        <v>466</v>
      </c>
      <c r="C260" s="7">
        <v>0</v>
      </c>
      <c r="D260" s="68">
        <v>16322.31</v>
      </c>
      <c r="E260" s="87">
        <v>252124</v>
      </c>
      <c r="F260" s="87">
        <f t="shared" si="19"/>
        <v>268446.31</v>
      </c>
      <c r="G260" s="15">
        <f t="shared" si="16"/>
        <v>268446.31</v>
      </c>
    </row>
    <row r="261" spans="1:9" ht="15" hidden="1" customHeight="1">
      <c r="A261" s="3" t="s">
        <v>467</v>
      </c>
      <c r="B261" s="6" t="s">
        <v>468</v>
      </c>
      <c r="C261" s="7">
        <v>0</v>
      </c>
      <c r="D261" s="68">
        <v>10730.02</v>
      </c>
      <c r="E261" s="87">
        <v>165742</v>
      </c>
      <c r="F261" s="87">
        <f t="shared" si="19"/>
        <v>176472.02</v>
      </c>
      <c r="G261" s="15">
        <f t="shared" si="16"/>
        <v>176472.02</v>
      </c>
    </row>
    <row r="262" spans="1:9" ht="15" hidden="1" customHeight="1">
      <c r="A262" s="3" t="s">
        <v>469</v>
      </c>
      <c r="B262" s="6" t="s">
        <v>470</v>
      </c>
      <c r="C262" s="7">
        <v>0</v>
      </c>
      <c r="D262" s="68">
        <v>8870.61</v>
      </c>
      <c r="E262" s="87">
        <v>137020</v>
      </c>
      <c r="F262" s="87">
        <f t="shared" si="19"/>
        <v>145890.60999999999</v>
      </c>
      <c r="G262" s="15">
        <f t="shared" si="16"/>
        <v>145890.60999999999</v>
      </c>
    </row>
    <row r="263" spans="1:9" ht="15" customHeight="1">
      <c r="A263" s="38" t="s">
        <v>453</v>
      </c>
      <c r="B263" s="38" t="s">
        <v>454</v>
      </c>
      <c r="C263" s="7">
        <v>0</v>
      </c>
      <c r="D263" s="41">
        <v>101688.7</v>
      </c>
      <c r="E263" s="87">
        <f>450000+110421+0.06</f>
        <v>560421.06000000006</v>
      </c>
      <c r="F263" s="87">
        <f t="shared" si="19"/>
        <v>662109.76</v>
      </c>
      <c r="G263" s="15">
        <f t="shared" si="16"/>
        <v>662109.76</v>
      </c>
    </row>
    <row r="264" spans="1:9" ht="15" customHeight="1">
      <c r="A264" s="38" t="s">
        <v>455</v>
      </c>
      <c r="B264" s="38" t="s">
        <v>44</v>
      </c>
      <c r="C264" s="7">
        <v>0</v>
      </c>
      <c r="D264" s="41">
        <v>307071.40999999997</v>
      </c>
      <c r="E264" s="87">
        <v>185000</v>
      </c>
      <c r="F264" s="87">
        <f t="shared" si="19"/>
        <v>492071.41</v>
      </c>
      <c r="G264" s="15">
        <f t="shared" si="16"/>
        <v>492071.41</v>
      </c>
    </row>
    <row r="265" spans="1:9" ht="15" customHeight="1">
      <c r="A265" s="38" t="s">
        <v>456</v>
      </c>
      <c r="B265" s="38" t="s">
        <v>457</v>
      </c>
      <c r="C265" s="7">
        <v>0</v>
      </c>
      <c r="D265" s="41">
        <v>44853.52</v>
      </c>
      <c r="E265" s="87">
        <v>0</v>
      </c>
      <c r="F265" s="87">
        <f t="shared" si="19"/>
        <v>44853.52</v>
      </c>
      <c r="G265" s="15">
        <f t="shared" si="16"/>
        <v>44853.52</v>
      </c>
    </row>
    <row r="266" spans="1:9" ht="15" customHeight="1">
      <c r="A266" s="38" t="s">
        <v>458</v>
      </c>
      <c r="B266" s="38" t="s">
        <v>40</v>
      </c>
      <c r="C266" s="7">
        <v>0</v>
      </c>
      <c r="D266" s="41">
        <v>34715.68</v>
      </c>
      <c r="E266" s="87">
        <v>105000</v>
      </c>
      <c r="F266" s="87">
        <f t="shared" si="19"/>
        <v>139715.68</v>
      </c>
      <c r="G266" s="15">
        <f t="shared" si="16"/>
        <v>139715.68</v>
      </c>
    </row>
    <row r="267" spans="1:9" ht="15" customHeight="1">
      <c r="A267" s="38" t="s">
        <v>461</v>
      </c>
      <c r="B267" s="38" t="s">
        <v>462</v>
      </c>
      <c r="C267" s="7">
        <v>0</v>
      </c>
      <c r="D267" s="41">
        <v>211758.42</v>
      </c>
      <c r="E267" s="87">
        <v>1300000</v>
      </c>
      <c r="F267" s="87">
        <f t="shared" si="19"/>
        <v>1511758.42</v>
      </c>
      <c r="G267" s="15">
        <f t="shared" si="16"/>
        <v>1511758.42</v>
      </c>
    </row>
    <row r="268" spans="1:9" ht="15" customHeight="1">
      <c r="A268" s="38" t="s">
        <v>469</v>
      </c>
      <c r="B268" s="38" t="s">
        <v>470</v>
      </c>
      <c r="C268" s="7">
        <v>0</v>
      </c>
      <c r="D268" s="41">
        <v>947.67</v>
      </c>
      <c r="E268" s="87">
        <f t="shared" ref="E268" si="20">D268/8*4</f>
        <v>473.83499999999998</v>
      </c>
      <c r="F268" s="87">
        <f t="shared" si="19"/>
        <v>1421.5049999999999</v>
      </c>
      <c r="G268" s="15">
        <f t="shared" si="16"/>
        <v>1421.5049999999999</v>
      </c>
    </row>
    <row r="269" spans="1:9" s="20" customFormat="1" ht="15" customHeight="1">
      <c r="A269" s="58" t="s">
        <v>471</v>
      </c>
      <c r="B269" s="59" t="s">
        <v>472</v>
      </c>
      <c r="C269" s="60">
        <f>+C270+C271+C272</f>
        <v>3000</v>
      </c>
      <c r="D269" s="60">
        <f>+D270+D271+D272</f>
        <v>698210.21</v>
      </c>
      <c r="E269" s="60">
        <f>+E270+E271+E272</f>
        <v>0</v>
      </c>
      <c r="F269" s="60">
        <f>+F270+F271+F272</f>
        <v>698210.21</v>
      </c>
      <c r="G269" s="60">
        <f t="shared" si="16"/>
        <v>695210.21</v>
      </c>
      <c r="H269"/>
      <c r="I269"/>
    </row>
    <row r="270" spans="1:9" ht="15" customHeight="1">
      <c r="A270" s="3" t="s">
        <v>473</v>
      </c>
      <c r="B270" s="6" t="s">
        <v>474</v>
      </c>
      <c r="C270" s="37">
        <v>2000</v>
      </c>
      <c r="D270" s="30">
        <v>0</v>
      </c>
      <c r="E270" s="87">
        <f>D270/8*4</f>
        <v>0</v>
      </c>
      <c r="F270" s="87">
        <f t="shared" si="19"/>
        <v>0</v>
      </c>
      <c r="G270" s="15">
        <f t="shared" si="16"/>
        <v>-2000</v>
      </c>
    </row>
    <row r="271" spans="1:9" ht="15" customHeight="1">
      <c r="A271" s="3" t="s">
        <v>475</v>
      </c>
      <c r="B271" s="3" t="s">
        <v>476</v>
      </c>
      <c r="C271" s="37">
        <v>1000</v>
      </c>
      <c r="D271" s="30">
        <v>0</v>
      </c>
      <c r="E271" s="87">
        <f t="shared" ref="E271" si="21">D271/8*4</f>
        <v>0</v>
      </c>
      <c r="F271" s="87">
        <f t="shared" si="19"/>
        <v>0</v>
      </c>
      <c r="G271" s="15">
        <f t="shared" si="16"/>
        <v>-1000</v>
      </c>
    </row>
    <row r="272" spans="1:9" ht="15" customHeight="1">
      <c r="A272" s="49" t="s">
        <v>668</v>
      </c>
      <c r="B272" s="49" t="s">
        <v>669</v>
      </c>
      <c r="C272" s="37">
        <v>0</v>
      </c>
      <c r="D272" s="44">
        <v>698210.21</v>
      </c>
      <c r="E272" s="87">
        <v>0</v>
      </c>
      <c r="F272" s="87">
        <f t="shared" si="19"/>
        <v>698210.21</v>
      </c>
      <c r="G272" s="15">
        <f t="shared" si="16"/>
        <v>698210.21</v>
      </c>
    </row>
    <row r="273" spans="1:9" s="20" customFormat="1" ht="15" customHeight="1">
      <c r="A273" s="58" t="s">
        <v>477</v>
      </c>
      <c r="B273" s="58" t="s">
        <v>478</v>
      </c>
      <c r="C273" s="60">
        <f>SUBTOTAL(9,C274:C277)</f>
        <v>1710000</v>
      </c>
      <c r="D273" s="60">
        <f>SUBTOTAL(9,D274:D277)</f>
        <v>2301555</v>
      </c>
      <c r="E273" s="60">
        <f>SUBTOTAL(9,E274:E277)</f>
        <v>1324645.5</v>
      </c>
      <c r="F273" s="60">
        <f>SUBTOTAL(9,F274:F277)</f>
        <v>3626200.5</v>
      </c>
      <c r="G273" s="60">
        <f t="shared" si="16"/>
        <v>1916200.5</v>
      </c>
      <c r="H273"/>
      <c r="I273"/>
    </row>
    <row r="274" spans="1:9" ht="15" customHeight="1">
      <c r="A274" s="3" t="s">
        <v>479</v>
      </c>
      <c r="B274" s="75" t="s">
        <v>480</v>
      </c>
      <c r="C274" s="37">
        <v>10000</v>
      </c>
      <c r="D274" s="44">
        <v>2263</v>
      </c>
      <c r="E274" s="87">
        <v>0</v>
      </c>
      <c r="F274" s="87">
        <f>+D274+E274</f>
        <v>2263</v>
      </c>
      <c r="G274" s="15">
        <f t="shared" si="16"/>
        <v>-7737</v>
      </c>
    </row>
    <row r="275" spans="1:9" ht="15" customHeight="1">
      <c r="A275" s="3" t="s">
        <v>481</v>
      </c>
      <c r="B275" s="75" t="s">
        <v>482</v>
      </c>
      <c r="C275" s="37">
        <v>1000000</v>
      </c>
      <c r="D275" s="44">
        <v>1672971</v>
      </c>
      <c r="E275" s="87">
        <v>961485.5</v>
      </c>
      <c r="F275" s="87">
        <f>+D275+E275</f>
        <v>2634456.5</v>
      </c>
      <c r="G275" s="15">
        <f t="shared" si="16"/>
        <v>1634456.5</v>
      </c>
      <c r="H275" s="100"/>
      <c r="I275" s="98"/>
    </row>
    <row r="276" spans="1:9" ht="15" customHeight="1">
      <c r="A276" s="3" t="s">
        <v>483</v>
      </c>
      <c r="B276" s="75" t="s">
        <v>484</v>
      </c>
      <c r="C276" s="37">
        <v>600000</v>
      </c>
      <c r="D276" s="44">
        <v>626321</v>
      </c>
      <c r="E276" s="87">
        <f>313160+50000</f>
        <v>363160</v>
      </c>
      <c r="F276" s="87">
        <f>+D276+E276</f>
        <v>989481</v>
      </c>
      <c r="G276" s="15">
        <f t="shared" ref="G276:G343" si="22">+F276-C276</f>
        <v>389481</v>
      </c>
      <c r="H276" s="105"/>
    </row>
    <row r="277" spans="1:9" ht="15" customHeight="1">
      <c r="A277" s="3" t="s">
        <v>485</v>
      </c>
      <c r="B277" s="6" t="s">
        <v>486</v>
      </c>
      <c r="C277" s="37">
        <v>100000</v>
      </c>
      <c r="D277" s="41">
        <v>0</v>
      </c>
      <c r="E277" s="87">
        <f>D277/8*4</f>
        <v>0</v>
      </c>
      <c r="F277" s="87">
        <f>+D277+E277</f>
        <v>0</v>
      </c>
      <c r="G277" s="15">
        <f t="shared" si="22"/>
        <v>-100000</v>
      </c>
      <c r="H277" s="106"/>
    </row>
    <row r="278" spans="1:9" s="20" customFormat="1" ht="21" customHeight="1">
      <c r="A278" s="2" t="s">
        <v>487</v>
      </c>
      <c r="B278" s="10" t="s">
        <v>488</v>
      </c>
      <c r="C278" s="37">
        <v>10000</v>
      </c>
      <c r="D278" s="41">
        <v>32401.9</v>
      </c>
      <c r="E278" s="39">
        <v>16200</v>
      </c>
      <c r="F278" s="39">
        <f>+D278+E278</f>
        <v>48601.9</v>
      </c>
      <c r="G278" s="5">
        <f t="shared" si="22"/>
        <v>38601.9</v>
      </c>
      <c r="H278"/>
      <c r="I278"/>
    </row>
    <row r="279" spans="1:9" s="20" customFormat="1" ht="15" customHeight="1">
      <c r="A279" s="2" t="s">
        <v>489</v>
      </c>
      <c r="B279" s="10" t="s">
        <v>490</v>
      </c>
      <c r="C279" s="39">
        <f>+C280</f>
        <v>4332000</v>
      </c>
      <c r="D279" s="39">
        <f>+D280</f>
        <v>2514012.7799999998</v>
      </c>
      <c r="E279" s="39">
        <f>+E280</f>
        <v>1095278.22</v>
      </c>
      <c r="F279" s="39">
        <f>+F280</f>
        <v>3609291</v>
      </c>
      <c r="G279" s="5">
        <f t="shared" si="22"/>
        <v>-722709</v>
      </c>
      <c r="H279"/>
      <c r="I279"/>
    </row>
    <row r="280" spans="1:9" ht="14.25" customHeight="1">
      <c r="A280" s="3" t="s">
        <v>491</v>
      </c>
      <c r="B280" s="93" t="s">
        <v>492</v>
      </c>
      <c r="C280" s="37">
        <v>4332000</v>
      </c>
      <c r="D280" s="44">
        <v>2514012.7799999998</v>
      </c>
      <c r="E280" s="87">
        <v>1095278.22</v>
      </c>
      <c r="F280" s="87">
        <f>+D280+E280</f>
        <v>3609291</v>
      </c>
      <c r="G280" s="15">
        <f t="shared" si="22"/>
        <v>-722709</v>
      </c>
      <c r="H280" s="33"/>
    </row>
    <row r="281" spans="1:9" s="20" customFormat="1" ht="15" customHeight="1">
      <c r="A281" s="2" t="s">
        <v>493</v>
      </c>
      <c r="B281" s="10" t="s">
        <v>494</v>
      </c>
      <c r="C281" s="5">
        <f>+C282+C290</f>
        <v>333110000</v>
      </c>
      <c r="D281" s="39">
        <f>+D282+D290</f>
        <v>145568984.53</v>
      </c>
      <c r="E281" s="39">
        <f>+E282+E290</f>
        <v>71204951</v>
      </c>
      <c r="F281" s="39">
        <f>+F282+F290</f>
        <v>216773935.53000003</v>
      </c>
      <c r="G281" s="5">
        <f t="shared" si="22"/>
        <v>-116336064.46999997</v>
      </c>
      <c r="H281"/>
      <c r="I281"/>
    </row>
    <row r="282" spans="1:9" s="20" customFormat="1" ht="15" customHeight="1">
      <c r="A282" s="58" t="s">
        <v>495</v>
      </c>
      <c r="B282" s="58" t="s">
        <v>496</v>
      </c>
      <c r="C282" s="60">
        <f>SUBTOTAL(9,C283:C289)</f>
        <v>195310000</v>
      </c>
      <c r="D282" s="60">
        <f>SUBTOTAL(9,D283:D289)</f>
        <v>97671214.409999996</v>
      </c>
      <c r="E282" s="60">
        <f>SUBTOTAL(9,E283:E289)</f>
        <v>46723232</v>
      </c>
      <c r="F282" s="60">
        <f>SUBTOTAL(9,F283:F289)</f>
        <v>144394446.41000003</v>
      </c>
      <c r="G282" s="60">
        <f t="shared" si="22"/>
        <v>-50915553.589999974</v>
      </c>
      <c r="H282"/>
      <c r="I282"/>
    </row>
    <row r="283" spans="1:9" ht="15" customHeight="1">
      <c r="A283" s="3" t="s">
        <v>497</v>
      </c>
      <c r="B283" s="6" t="s">
        <v>498</v>
      </c>
      <c r="C283" s="66">
        <v>2500000</v>
      </c>
      <c r="D283" s="44">
        <v>1305243.98</v>
      </c>
      <c r="E283" s="87">
        <v>506136</v>
      </c>
      <c r="F283" s="87">
        <f t="shared" ref="F283:F289" si="23">+D283+E283</f>
        <v>1811379.98</v>
      </c>
      <c r="G283" s="15">
        <f t="shared" si="22"/>
        <v>-688620.02</v>
      </c>
    </row>
    <row r="284" spans="1:9" ht="15" customHeight="1">
      <c r="A284" s="3" t="s">
        <v>499</v>
      </c>
      <c r="B284" s="6" t="s">
        <v>500</v>
      </c>
      <c r="C284" s="37">
        <v>100000</v>
      </c>
      <c r="D284" s="44">
        <v>544815.13</v>
      </c>
      <c r="E284" s="87">
        <v>120000</v>
      </c>
      <c r="F284" s="87">
        <f t="shared" si="23"/>
        <v>664815.13</v>
      </c>
      <c r="G284" s="15">
        <f t="shared" si="22"/>
        <v>564815.13</v>
      </c>
    </row>
    <row r="285" spans="1:9" ht="15" customHeight="1">
      <c r="A285" s="3" t="s">
        <v>501</v>
      </c>
      <c r="B285" s="6" t="s">
        <v>502</v>
      </c>
      <c r="C285" s="37">
        <v>500000</v>
      </c>
      <c r="D285" s="41">
        <v>0</v>
      </c>
      <c r="E285" s="87">
        <f>+D285/8*4</f>
        <v>0</v>
      </c>
      <c r="F285" s="87">
        <f t="shared" si="23"/>
        <v>0</v>
      </c>
      <c r="G285" s="15">
        <f t="shared" si="22"/>
        <v>-500000</v>
      </c>
    </row>
    <row r="286" spans="1:9" ht="15" customHeight="1">
      <c r="A286" s="38" t="s">
        <v>630</v>
      </c>
      <c r="B286" s="38" t="s">
        <v>629</v>
      </c>
      <c r="C286" s="37">
        <v>0</v>
      </c>
      <c r="D286" s="41">
        <v>0</v>
      </c>
      <c r="E286" s="87">
        <f>+D286/8*4</f>
        <v>0</v>
      </c>
      <c r="F286" s="87">
        <f t="shared" si="23"/>
        <v>0</v>
      </c>
      <c r="G286" s="15">
        <f t="shared" si="22"/>
        <v>0</v>
      </c>
    </row>
    <row r="287" spans="1:9" ht="15" customHeight="1">
      <c r="A287" s="3" t="s">
        <v>503</v>
      </c>
      <c r="B287" s="79" t="s">
        <v>504</v>
      </c>
      <c r="C287" s="37">
        <v>38000000</v>
      </c>
      <c r="D287" s="44">
        <v>27880197.739999998</v>
      </c>
      <c r="E287" s="87">
        <v>9382476</v>
      </c>
      <c r="F287" s="87">
        <f t="shared" si="23"/>
        <v>37262673.739999995</v>
      </c>
      <c r="G287" s="15">
        <f t="shared" si="22"/>
        <v>-737326.26000000536</v>
      </c>
    </row>
    <row r="288" spans="1:9" ht="15" customHeight="1">
      <c r="A288" s="3" t="s">
        <v>505</v>
      </c>
      <c r="B288" s="75" t="s">
        <v>506</v>
      </c>
      <c r="C288" s="37">
        <v>154200000</v>
      </c>
      <c r="D288" s="44">
        <v>67929661.010000005</v>
      </c>
      <c r="E288" s="87">
        <v>36710120</v>
      </c>
      <c r="F288" s="87">
        <f t="shared" si="23"/>
        <v>104639781.01000001</v>
      </c>
      <c r="G288" s="15">
        <f t="shared" si="22"/>
        <v>-49560218.989999995</v>
      </c>
      <c r="H288" s="33"/>
    </row>
    <row r="289" spans="1:9" ht="15" customHeight="1">
      <c r="A289" s="3" t="s">
        <v>507</v>
      </c>
      <c r="B289" s="6" t="s">
        <v>508</v>
      </c>
      <c r="C289" s="66">
        <v>10000</v>
      </c>
      <c r="D289" s="44">
        <v>11296.55</v>
      </c>
      <c r="E289" s="87">
        <v>4500</v>
      </c>
      <c r="F289" s="87">
        <f t="shared" si="23"/>
        <v>15796.55</v>
      </c>
      <c r="G289" s="15">
        <f t="shared" si="22"/>
        <v>5796.5499999999993</v>
      </c>
    </row>
    <row r="290" spans="1:9" s="20" customFormat="1" ht="15" customHeight="1">
      <c r="A290" s="58" t="s">
        <v>509</v>
      </c>
      <c r="B290" s="58" t="s">
        <v>510</v>
      </c>
      <c r="C290" s="60">
        <f>SUBTOTAL(9,C291:C294)</f>
        <v>137800000</v>
      </c>
      <c r="D290" s="60">
        <f>SUBTOTAL(9,D291:D294)</f>
        <v>47897770.120000005</v>
      </c>
      <c r="E290" s="60">
        <f>SUBTOTAL(9,E291:E294)</f>
        <v>24481719</v>
      </c>
      <c r="F290" s="60">
        <f>SUBTOTAL(9,F291:F294)</f>
        <v>72379489.120000005</v>
      </c>
      <c r="G290" s="60">
        <f t="shared" si="22"/>
        <v>-65420510.879999995</v>
      </c>
      <c r="H290" s="33"/>
      <c r="I290"/>
    </row>
    <row r="291" spans="1:9" ht="15" customHeight="1">
      <c r="A291" s="3" t="s">
        <v>511</v>
      </c>
      <c r="B291" s="75" t="s">
        <v>512</v>
      </c>
      <c r="C291" s="66">
        <v>4000000</v>
      </c>
      <c r="D291" s="44">
        <v>4484875.05</v>
      </c>
      <c r="E291" s="87">
        <v>4789722</v>
      </c>
      <c r="F291" s="87">
        <f>+D291+E291</f>
        <v>9274597.0500000007</v>
      </c>
      <c r="G291" s="15">
        <f t="shared" si="22"/>
        <v>5274597.0500000007</v>
      </c>
      <c r="H291" s="33">
        <f>+D291-6081449</f>
        <v>-1596573.9500000002</v>
      </c>
      <c r="I291">
        <f>+H291*3</f>
        <v>-4789721.8500000006</v>
      </c>
    </row>
    <row r="292" spans="1:9" ht="15" customHeight="1">
      <c r="A292" s="3" t="s">
        <v>513</v>
      </c>
      <c r="B292" s="79" t="s">
        <v>514</v>
      </c>
      <c r="C292" s="37">
        <v>40800000</v>
      </c>
      <c r="D292" s="44">
        <v>23366318.399999999</v>
      </c>
      <c r="E292" s="87">
        <v>12950916</v>
      </c>
      <c r="F292" s="87">
        <f>+D292+E292</f>
        <v>36317234.399999999</v>
      </c>
      <c r="G292" s="15">
        <f t="shared" si="22"/>
        <v>-4482765.6000000015</v>
      </c>
    </row>
    <row r="293" spans="1:9" ht="15" customHeight="1">
      <c r="A293" s="3" t="s">
        <v>515</v>
      </c>
      <c r="B293" s="79" t="s">
        <v>516</v>
      </c>
      <c r="C293" s="37">
        <v>33000000</v>
      </c>
      <c r="D293" s="44">
        <v>20046576.670000002</v>
      </c>
      <c r="E293" s="87">
        <v>6741081</v>
      </c>
      <c r="F293" s="87">
        <f>+D293+E293</f>
        <v>26787657.670000002</v>
      </c>
      <c r="G293" s="15">
        <f t="shared" si="22"/>
        <v>-6212342.3299999982</v>
      </c>
      <c r="H293" s="33">
        <f>+D293-20099657</f>
        <v>-53080.329999998212</v>
      </c>
    </row>
    <row r="294" spans="1:9" ht="15" customHeight="1">
      <c r="A294" s="38" t="s">
        <v>631</v>
      </c>
      <c r="B294" s="75" t="s">
        <v>601</v>
      </c>
      <c r="C294" s="37">
        <v>60000000</v>
      </c>
      <c r="D294" s="30">
        <v>0</v>
      </c>
      <c r="E294" s="87">
        <f>D294/8*4</f>
        <v>0</v>
      </c>
      <c r="F294" s="87">
        <f>+D294+E294</f>
        <v>0</v>
      </c>
      <c r="G294" s="15">
        <f t="shared" si="22"/>
        <v>-60000000</v>
      </c>
      <c r="H294" s="100"/>
    </row>
    <row r="295" spans="1:9" s="20" customFormat="1" ht="15" customHeight="1">
      <c r="A295" s="58" t="s">
        <v>517</v>
      </c>
      <c r="B295" s="59" t="s">
        <v>518</v>
      </c>
      <c r="C295" s="60">
        <f>+C296</f>
        <v>3300</v>
      </c>
      <c r="D295" s="60">
        <f>+D296</f>
        <v>13772</v>
      </c>
      <c r="E295" s="60">
        <f>+E296</f>
        <v>5164.5</v>
      </c>
      <c r="F295" s="60">
        <f>+F296</f>
        <v>18936.5</v>
      </c>
      <c r="G295" s="60">
        <f t="shared" si="22"/>
        <v>15636.5</v>
      </c>
      <c r="H295" s="60"/>
      <c r="I295"/>
    </row>
    <row r="296" spans="1:9" ht="15" customHeight="1">
      <c r="A296" s="3" t="s">
        <v>519</v>
      </c>
      <c r="B296" s="6" t="s">
        <v>520</v>
      </c>
      <c r="C296" s="37">
        <v>3300</v>
      </c>
      <c r="D296" s="44">
        <v>13772</v>
      </c>
      <c r="E296" s="68">
        <f>D296/8*3</f>
        <v>5164.5</v>
      </c>
      <c r="F296" s="87">
        <f t="shared" ref="F296:F297" si="24">+D296+E296</f>
        <v>18936.5</v>
      </c>
      <c r="G296" s="15">
        <f t="shared" si="22"/>
        <v>15636.5</v>
      </c>
    </row>
    <row r="297" spans="1:9" ht="15" customHeight="1">
      <c r="A297" s="38" t="s">
        <v>633</v>
      </c>
      <c r="B297" s="69" t="s">
        <v>632</v>
      </c>
      <c r="C297" s="37">
        <v>0</v>
      </c>
      <c r="D297" s="44">
        <v>0</v>
      </c>
      <c r="E297" s="68">
        <f>D297/8*4</f>
        <v>0</v>
      </c>
      <c r="F297" s="87">
        <f t="shared" si="24"/>
        <v>0</v>
      </c>
      <c r="G297" s="15">
        <f t="shared" si="22"/>
        <v>0</v>
      </c>
    </row>
    <row r="298" spans="1:9" s="25" customFormat="1" ht="15" customHeight="1">
      <c r="A298" s="16" t="s">
        <v>521</v>
      </c>
      <c r="B298" s="17" t="s">
        <v>522</v>
      </c>
      <c r="C298" s="37">
        <v>800</v>
      </c>
      <c r="D298" s="44">
        <v>805.41</v>
      </c>
      <c r="E298" s="87">
        <f>+D298/8*4</f>
        <v>402.70499999999998</v>
      </c>
      <c r="F298" s="87">
        <f>+D298+E298</f>
        <v>1208.115</v>
      </c>
      <c r="G298" s="15">
        <f t="shared" si="22"/>
        <v>408.11500000000001</v>
      </c>
      <c r="H298"/>
      <c r="I298"/>
    </row>
    <row r="299" spans="1:9" s="25" customFormat="1" ht="15" customHeight="1">
      <c r="A299" s="16" t="s">
        <v>523</v>
      </c>
      <c r="B299" s="17" t="s">
        <v>524</v>
      </c>
      <c r="C299" s="37">
        <v>1500</v>
      </c>
      <c r="D299" s="44">
        <v>12967.31</v>
      </c>
      <c r="E299" s="87">
        <f>D299/8*3</f>
        <v>4862.74125</v>
      </c>
      <c r="F299" s="87">
        <f>+D299+E299</f>
        <v>17830.05125</v>
      </c>
      <c r="G299" s="15">
        <f t="shared" si="22"/>
        <v>16330.05125</v>
      </c>
      <c r="H299"/>
      <c r="I299"/>
    </row>
    <row r="300" spans="1:9" s="25" customFormat="1" ht="15" customHeight="1">
      <c r="A300" s="16" t="s">
        <v>525</v>
      </c>
      <c r="B300" s="17" t="s">
        <v>526</v>
      </c>
      <c r="C300" s="37">
        <v>1000</v>
      </c>
      <c r="D300" s="30">
        <v>0</v>
      </c>
      <c r="E300" s="87">
        <f>D300/8*4</f>
        <v>0</v>
      </c>
      <c r="F300" s="87">
        <f>+D300+E300</f>
        <v>0</v>
      </c>
      <c r="G300" s="15">
        <f t="shared" si="22"/>
        <v>-1000</v>
      </c>
      <c r="H300"/>
      <c r="I300"/>
    </row>
    <row r="301" spans="1:9" s="25" customFormat="1" ht="6.75" customHeight="1">
      <c r="A301" s="16"/>
      <c r="B301" s="17"/>
      <c r="C301" s="37"/>
      <c r="D301" s="30"/>
      <c r="E301" s="87"/>
      <c r="F301" s="87"/>
      <c r="G301" s="15"/>
      <c r="H301"/>
      <c r="I301"/>
    </row>
    <row r="302" spans="1:9" ht="15" customHeight="1">
      <c r="A302" s="8" t="s">
        <v>527</v>
      </c>
      <c r="B302" s="20" t="s">
        <v>527</v>
      </c>
      <c r="E302" s="85"/>
      <c r="G302" s="1">
        <f t="shared" si="22"/>
        <v>0</v>
      </c>
    </row>
    <row r="303" spans="1:9" s="20" customFormat="1" ht="15" customHeight="1">
      <c r="A303" s="58" t="s">
        <v>528</v>
      </c>
      <c r="B303" s="59" t="s">
        <v>529</v>
      </c>
      <c r="C303" s="60">
        <f>+C304</f>
        <v>431000</v>
      </c>
      <c r="D303" s="60">
        <f>+D304</f>
        <v>320580</v>
      </c>
      <c r="E303" s="60">
        <f>+E304</f>
        <v>106860</v>
      </c>
      <c r="F303" s="60">
        <f>+F304</f>
        <v>427440</v>
      </c>
      <c r="G303" s="60">
        <f t="shared" si="22"/>
        <v>-3560</v>
      </c>
      <c r="H303"/>
      <c r="I303"/>
    </row>
    <row r="304" spans="1:9" ht="15" customHeight="1">
      <c r="A304" s="3" t="s">
        <v>530</v>
      </c>
      <c r="B304" s="6" t="s">
        <v>531</v>
      </c>
      <c r="C304" s="30">
        <v>431000</v>
      </c>
      <c r="D304" s="44">
        <v>320580</v>
      </c>
      <c r="E304" s="87">
        <v>106860</v>
      </c>
      <c r="F304" s="87">
        <f>+D304+E304</f>
        <v>427440</v>
      </c>
      <c r="G304" s="15">
        <f t="shared" si="22"/>
        <v>-3560</v>
      </c>
    </row>
    <row r="305" spans="1:9" ht="6.75" customHeight="1">
      <c r="A305" s="3"/>
      <c r="C305" s="30"/>
      <c r="D305" s="44"/>
      <c r="F305" s="87"/>
      <c r="G305" s="15"/>
    </row>
    <row r="306" spans="1:9" ht="27" customHeight="1">
      <c r="A306" s="8" t="s">
        <v>532</v>
      </c>
      <c r="B306" s="8"/>
      <c r="C306" s="21">
        <f>C307</f>
        <v>21620000</v>
      </c>
      <c r="D306" s="21">
        <f>D307</f>
        <v>4201959.29</v>
      </c>
      <c r="E306" s="67">
        <f>E307</f>
        <v>12915770.199999999</v>
      </c>
      <c r="F306" s="67">
        <f>F307</f>
        <v>17117729.489999998</v>
      </c>
      <c r="G306" s="1">
        <f t="shared" si="22"/>
        <v>-4502270.5100000016</v>
      </c>
    </row>
    <row r="307" spans="1:9" ht="15" customHeight="1">
      <c r="A307" s="73" t="s">
        <v>533</v>
      </c>
      <c r="B307" s="74" t="s">
        <v>534</v>
      </c>
      <c r="C307" s="63">
        <f>+C308+C312+C316+C319</f>
        <v>21620000</v>
      </c>
      <c r="D307" s="63">
        <f>+D308+D312+D316+D319</f>
        <v>4201959.29</v>
      </c>
      <c r="E307" s="63">
        <f>+E308+E312+E316+E319</f>
        <v>12915770.199999999</v>
      </c>
      <c r="F307" s="63">
        <f>+F308+F312+F316+F319</f>
        <v>17117729.489999998</v>
      </c>
      <c r="G307" s="63">
        <f t="shared" si="22"/>
        <v>-4502270.5100000016</v>
      </c>
    </row>
    <row r="308" spans="1:9" ht="15" customHeight="1">
      <c r="A308" s="2" t="s">
        <v>535</v>
      </c>
      <c r="B308" s="10" t="s">
        <v>536</v>
      </c>
      <c r="C308" s="5">
        <f>+C309+C310+C311</f>
        <v>1250000</v>
      </c>
      <c r="D308" s="5">
        <f>+D309+D310+D311</f>
        <v>627632.9</v>
      </c>
      <c r="E308" s="39">
        <f>+E309+E310+E311</f>
        <v>3993592.5350000001</v>
      </c>
      <c r="F308" s="39">
        <f>+F309+F310+F311</f>
        <v>4621225.4350000005</v>
      </c>
      <c r="G308" s="5">
        <f t="shared" si="22"/>
        <v>3371225.4350000005</v>
      </c>
    </row>
    <row r="309" spans="1:9" ht="15" customHeight="1">
      <c r="A309" s="3" t="s">
        <v>537</v>
      </c>
      <c r="B309" s="6" t="s">
        <v>538</v>
      </c>
      <c r="C309" s="37">
        <v>500000</v>
      </c>
      <c r="D309" s="44">
        <v>184245.57</v>
      </c>
      <c r="E309" s="87">
        <f>D309/8*4</f>
        <v>92122.785000000003</v>
      </c>
      <c r="F309" s="87">
        <f>+D309+E309</f>
        <v>276368.35499999998</v>
      </c>
      <c r="G309" s="15">
        <f t="shared" si="22"/>
        <v>-223631.64500000002</v>
      </c>
      <c r="H309" s="33"/>
    </row>
    <row r="310" spans="1:9" ht="15" customHeight="1">
      <c r="A310" s="3" t="s">
        <v>539</v>
      </c>
      <c r="B310" s="6" t="s">
        <v>540</v>
      </c>
      <c r="C310" s="7">
        <v>500000</v>
      </c>
      <c r="D310" s="44">
        <v>443387.33</v>
      </c>
      <c r="E310" s="87">
        <f>3753674.75+147795</f>
        <v>3901469.75</v>
      </c>
      <c r="F310" s="87">
        <f>+D310+E310</f>
        <v>4344857.08</v>
      </c>
      <c r="G310" s="15">
        <f t="shared" si="22"/>
        <v>3844857.08</v>
      </c>
      <c r="H310" s="98"/>
      <c r="I310" s="33"/>
    </row>
    <row r="311" spans="1:9" ht="15" customHeight="1">
      <c r="A311" s="2" t="s">
        <v>541</v>
      </c>
      <c r="B311" s="10" t="s">
        <v>542</v>
      </c>
      <c r="C311" s="37">
        <v>250000</v>
      </c>
      <c r="D311" s="5">
        <v>0</v>
      </c>
      <c r="E311" s="39">
        <f>D311/8*4</f>
        <v>0</v>
      </c>
      <c r="F311" s="39">
        <f>+D311+E311</f>
        <v>0</v>
      </c>
      <c r="G311" s="5">
        <f t="shared" si="22"/>
        <v>-250000</v>
      </c>
    </row>
    <row r="312" spans="1:9" ht="15" customHeight="1">
      <c r="A312" s="2" t="s">
        <v>543</v>
      </c>
      <c r="B312" s="10" t="s">
        <v>544</v>
      </c>
      <c r="C312" s="5">
        <f>+C313+C314+C315</f>
        <v>50000</v>
      </c>
      <c r="D312" s="5">
        <f>+D313+D314+D315</f>
        <v>0</v>
      </c>
      <c r="E312" s="39">
        <f>+E313+E314+E315</f>
        <v>0</v>
      </c>
      <c r="F312" s="39">
        <f>+F313+F314+F315</f>
        <v>0</v>
      </c>
      <c r="G312" s="5">
        <f t="shared" si="22"/>
        <v>-50000</v>
      </c>
    </row>
    <row r="313" spans="1:9" ht="15" customHeight="1">
      <c r="A313" s="3" t="s">
        <v>545</v>
      </c>
      <c r="B313" s="6" t="s">
        <v>546</v>
      </c>
      <c r="C313" s="7">
        <v>50000</v>
      </c>
      <c r="D313" s="30">
        <v>0</v>
      </c>
      <c r="E313" s="87">
        <f>+D313/8*4</f>
        <v>0</v>
      </c>
      <c r="F313" s="87">
        <f>+D313+E313</f>
        <v>0</v>
      </c>
      <c r="G313" s="15">
        <f t="shared" si="22"/>
        <v>-50000</v>
      </c>
    </row>
    <row r="314" spans="1:9" ht="15" customHeight="1">
      <c r="A314" s="38" t="s">
        <v>635</v>
      </c>
      <c r="B314" s="38" t="s">
        <v>634</v>
      </c>
      <c r="C314" s="37">
        <v>0</v>
      </c>
      <c r="D314" s="30">
        <v>0</v>
      </c>
      <c r="E314" s="87">
        <f t="shared" ref="E314:E315" si="25">+D314/8*4</f>
        <v>0</v>
      </c>
      <c r="F314" s="87">
        <f t="shared" ref="F314:F315" si="26">+D314+E314</f>
        <v>0</v>
      </c>
      <c r="G314" s="15">
        <f t="shared" si="22"/>
        <v>0</v>
      </c>
    </row>
    <row r="315" spans="1:9" ht="15" customHeight="1">
      <c r="A315" s="38" t="s">
        <v>637</v>
      </c>
      <c r="B315" s="38" t="s">
        <v>636</v>
      </c>
      <c r="C315" s="37">
        <v>0</v>
      </c>
      <c r="D315" s="30">
        <v>0</v>
      </c>
      <c r="E315" s="87">
        <f t="shared" si="25"/>
        <v>0</v>
      </c>
      <c r="F315" s="87">
        <f t="shared" si="26"/>
        <v>0</v>
      </c>
      <c r="G315" s="15">
        <f t="shared" si="22"/>
        <v>0</v>
      </c>
    </row>
    <row r="316" spans="1:9" ht="15" customHeight="1">
      <c r="A316" s="2" t="s">
        <v>547</v>
      </c>
      <c r="B316" s="10" t="s">
        <v>548</v>
      </c>
      <c r="C316" s="5">
        <f>+C317+C318</f>
        <v>5000000</v>
      </c>
      <c r="D316" s="5">
        <f>+D317+D318</f>
        <v>0</v>
      </c>
      <c r="E316" s="39">
        <f>+E317+E318</f>
        <v>6955125</v>
      </c>
      <c r="F316" s="39">
        <f>+F317+F318</f>
        <v>6955125</v>
      </c>
      <c r="G316" s="5">
        <f t="shared" si="22"/>
        <v>1955125</v>
      </c>
    </row>
    <row r="317" spans="1:9" ht="15" customHeight="1">
      <c r="A317" s="3" t="s">
        <v>549</v>
      </c>
      <c r="B317" s="6" t="s">
        <v>550</v>
      </c>
      <c r="C317" s="37">
        <v>4500000</v>
      </c>
      <c r="D317" s="30">
        <v>0</v>
      </c>
      <c r="E317" s="87">
        <f>1055125+5900000</f>
        <v>6955125</v>
      </c>
      <c r="F317" s="87">
        <f>+D317+E317</f>
        <v>6955125</v>
      </c>
      <c r="G317" s="15">
        <f t="shared" si="22"/>
        <v>2455125</v>
      </c>
      <c r="H317" s="30"/>
      <c r="I317" s="33"/>
    </row>
    <row r="318" spans="1:9" ht="15" customHeight="1">
      <c r="A318" s="3" t="s">
        <v>551</v>
      </c>
      <c r="B318" s="6" t="s">
        <v>552</v>
      </c>
      <c r="C318" s="37">
        <v>500000</v>
      </c>
      <c r="D318" s="30">
        <v>0</v>
      </c>
      <c r="E318" s="87">
        <f>D318/8*4</f>
        <v>0</v>
      </c>
      <c r="F318" s="87">
        <f>+D318+E318</f>
        <v>0</v>
      </c>
      <c r="G318" s="15">
        <f t="shared" si="22"/>
        <v>-500000</v>
      </c>
    </row>
    <row r="319" spans="1:9" ht="15" customHeight="1">
      <c r="A319" s="2" t="s">
        <v>553</v>
      </c>
      <c r="B319" s="10" t="s">
        <v>554</v>
      </c>
      <c r="C319" s="5">
        <f>SUBTOTAL(9,C320:C325)</f>
        <v>15320000</v>
      </c>
      <c r="D319" s="5">
        <f>SUBTOTAL(9,D320:D325)</f>
        <v>3574326.39</v>
      </c>
      <c r="E319" s="39">
        <f>SUBTOTAL(9,E320:E325)</f>
        <v>1967052.665</v>
      </c>
      <c r="F319" s="39">
        <f>SUBTOTAL(9,F320:F325)</f>
        <v>5541379.0549999988</v>
      </c>
      <c r="G319" s="5">
        <f t="shared" si="22"/>
        <v>-9778620.9450000003</v>
      </c>
    </row>
    <row r="320" spans="1:9" ht="15" customHeight="1">
      <c r="A320" s="3" t="s">
        <v>555</v>
      </c>
      <c r="B320" s="6" t="s">
        <v>556</v>
      </c>
      <c r="C320" s="37">
        <v>12000000</v>
      </c>
      <c r="D320" s="44">
        <v>2474445.04</v>
      </c>
      <c r="E320" s="87">
        <f>D320/8*4</f>
        <v>1237222.52</v>
      </c>
      <c r="F320" s="87">
        <f>+D320+E320</f>
        <v>3711667.56</v>
      </c>
      <c r="G320" s="15">
        <f t="shared" si="22"/>
        <v>-8288332.4399999995</v>
      </c>
    </row>
    <row r="321" spans="1:9" ht="15" customHeight="1">
      <c r="A321" s="3" t="s">
        <v>557</v>
      </c>
      <c r="B321" s="3" t="s">
        <v>558</v>
      </c>
      <c r="C321" s="37">
        <v>20000</v>
      </c>
      <c r="D321" s="44">
        <v>129426.7</v>
      </c>
      <c r="E321" s="87">
        <v>71913.600000000006</v>
      </c>
      <c r="F321" s="87">
        <f>+D321+E321</f>
        <v>201340.3</v>
      </c>
      <c r="G321" s="15">
        <f t="shared" si="22"/>
        <v>181340.3</v>
      </c>
      <c r="H321" s="33">
        <f>+D321-153397.9</f>
        <v>-23971.199999999997</v>
      </c>
      <c r="I321">
        <f>+H321*3</f>
        <v>-71913.599999999991</v>
      </c>
    </row>
    <row r="322" spans="1:9" ht="15" customHeight="1">
      <c r="A322" s="38" t="s">
        <v>639</v>
      </c>
      <c r="B322" s="38" t="s">
        <v>638</v>
      </c>
      <c r="C322" s="37">
        <v>0</v>
      </c>
      <c r="D322" s="44">
        <v>36067.31</v>
      </c>
      <c r="E322" s="87">
        <f>D322/8*4</f>
        <v>18033.654999999999</v>
      </c>
      <c r="F322" s="87">
        <f>+D322+E322</f>
        <v>54100.964999999997</v>
      </c>
      <c r="G322" s="15">
        <f t="shared" si="22"/>
        <v>54100.964999999997</v>
      </c>
    </row>
    <row r="323" spans="1:9" ht="15" customHeight="1">
      <c r="A323" s="3" t="s">
        <v>559</v>
      </c>
      <c r="B323" s="3" t="s">
        <v>560</v>
      </c>
      <c r="C323" s="7">
        <v>100000</v>
      </c>
      <c r="D323" s="44">
        <v>31481.53</v>
      </c>
      <c r="E323" s="87">
        <f>+D323/8*4</f>
        <v>15740.764999999999</v>
      </c>
      <c r="F323" s="87">
        <f>+D323+E323</f>
        <v>47222.294999999998</v>
      </c>
      <c r="G323" s="15">
        <f t="shared" si="22"/>
        <v>-52777.705000000002</v>
      </c>
    </row>
    <row r="324" spans="1:9" ht="15" customHeight="1">
      <c r="A324" s="3" t="s">
        <v>561</v>
      </c>
      <c r="B324" s="6" t="s">
        <v>562</v>
      </c>
      <c r="C324" s="37">
        <v>3000000</v>
      </c>
      <c r="D324" s="44">
        <v>856422.25</v>
      </c>
      <c r="E324" s="87">
        <f>+D324/8*4</f>
        <v>428211.125</v>
      </c>
      <c r="F324" s="87">
        <f>+D324+E324</f>
        <v>1284633.375</v>
      </c>
      <c r="G324" s="15">
        <f t="shared" si="22"/>
        <v>-1715366.625</v>
      </c>
    </row>
    <row r="325" spans="1:9" s="20" customFormat="1" ht="15" customHeight="1">
      <c r="A325" s="2" t="s">
        <v>563</v>
      </c>
      <c r="B325" s="10" t="s">
        <v>564</v>
      </c>
      <c r="C325" s="5">
        <f>+C326</f>
        <v>200000</v>
      </c>
      <c r="D325" s="39">
        <f>+D326</f>
        <v>46483.56</v>
      </c>
      <c r="E325" s="39">
        <f>+E326</f>
        <v>195931</v>
      </c>
      <c r="F325" s="39">
        <f>+F326</f>
        <v>242414.56</v>
      </c>
      <c r="G325" s="5">
        <f t="shared" si="22"/>
        <v>42414.559999999998</v>
      </c>
      <c r="H325"/>
      <c r="I325"/>
    </row>
    <row r="326" spans="1:9" ht="15" customHeight="1">
      <c r="A326" s="3" t="s">
        <v>565</v>
      </c>
      <c r="B326" s="6" t="s">
        <v>566</v>
      </c>
      <c r="C326" s="37">
        <v>200000</v>
      </c>
      <c r="D326" s="44">
        <v>46483.56</v>
      </c>
      <c r="E326" s="87">
        <v>195931</v>
      </c>
      <c r="F326" s="87">
        <f>+D326+E326</f>
        <v>242414.56</v>
      </c>
      <c r="G326" s="15">
        <f t="shared" si="22"/>
        <v>42414.559999999998</v>
      </c>
      <c r="H326" s="33">
        <f>+D326-111793</f>
        <v>-65309.440000000002</v>
      </c>
      <c r="I326">
        <f>+H326*3</f>
        <v>-195928.32000000001</v>
      </c>
    </row>
    <row r="327" spans="1:9" ht="15" customHeight="1">
      <c r="E327" s="85"/>
      <c r="G327" s="1">
        <f t="shared" si="22"/>
        <v>0</v>
      </c>
    </row>
    <row r="328" spans="1:9" ht="15" customHeight="1">
      <c r="A328" s="62"/>
      <c r="B328" s="62" t="s">
        <v>567</v>
      </c>
      <c r="C328" s="63">
        <f t="shared" ref="C328:C330" si="27">+C329</f>
        <v>273605344</v>
      </c>
      <c r="D328" s="63">
        <f>+D329</f>
        <v>40258070.829999998</v>
      </c>
      <c r="E328" s="63">
        <f>+E329</f>
        <v>92541859</v>
      </c>
      <c r="F328" s="63">
        <f>+F329</f>
        <v>132799929.83000001</v>
      </c>
      <c r="G328" s="63">
        <f t="shared" si="22"/>
        <v>-140805414.16999999</v>
      </c>
    </row>
    <row r="329" spans="1:9" ht="15" customHeight="1">
      <c r="A329" s="3" t="s">
        <v>568</v>
      </c>
      <c r="B329" s="3" t="s">
        <v>569</v>
      </c>
      <c r="C329" s="5">
        <f>C330+C345</f>
        <v>273605344</v>
      </c>
      <c r="D329" s="5">
        <f>D330+D345</f>
        <v>40258070.829999998</v>
      </c>
      <c r="E329" s="39">
        <f>E330+E345</f>
        <v>92541859</v>
      </c>
      <c r="F329" s="39">
        <f>F330+F345</f>
        <v>132799929.83000001</v>
      </c>
      <c r="G329" s="7">
        <f t="shared" si="22"/>
        <v>-140805414.16999999</v>
      </c>
    </row>
    <row r="330" spans="1:9" ht="15" customHeight="1">
      <c r="A330" s="3" t="s">
        <v>570</v>
      </c>
      <c r="B330" s="3" t="s">
        <v>571</v>
      </c>
      <c r="C330" s="7">
        <f t="shared" si="27"/>
        <v>273605344</v>
      </c>
      <c r="D330" s="44">
        <f>D331</f>
        <v>37552615.859999999</v>
      </c>
      <c r="E330" s="44">
        <f>E331</f>
        <v>91071374</v>
      </c>
      <c r="F330" s="44">
        <f>F331</f>
        <v>128623989.86000001</v>
      </c>
      <c r="G330" s="7">
        <f t="shared" si="22"/>
        <v>-144981354.13999999</v>
      </c>
    </row>
    <row r="331" spans="1:9" s="20" customFormat="1" ht="15" customHeight="1">
      <c r="A331" s="2" t="s">
        <v>572</v>
      </c>
      <c r="B331" s="2" t="s">
        <v>573</v>
      </c>
      <c r="C331" s="5">
        <f>+C332+C333+C334+C335+C338+C339+C341</f>
        <v>273605344</v>
      </c>
      <c r="D331" s="39">
        <f>+D332+D333+D334+D335+D338+D339+D341</f>
        <v>37552615.859999999</v>
      </c>
      <c r="E331" s="39">
        <f>+E332+E333+E334+E335+E338+E339+E341</f>
        <v>91071374</v>
      </c>
      <c r="F331" s="39">
        <f>+F332+F333+F334+F335+F338+F339+F341</f>
        <v>128623989.86000001</v>
      </c>
      <c r="G331" s="5">
        <f t="shared" si="22"/>
        <v>-144981354.13999999</v>
      </c>
      <c r="H331"/>
      <c r="I331"/>
    </row>
    <row r="332" spans="1:9" ht="15" customHeight="1">
      <c r="A332" s="3" t="s">
        <v>574</v>
      </c>
      <c r="B332" s="75" t="s">
        <v>689</v>
      </c>
      <c r="C332" s="37">
        <v>12133699</v>
      </c>
      <c r="D332" s="68">
        <v>0</v>
      </c>
      <c r="E332" s="41">
        <v>0</v>
      </c>
      <c r="F332" s="92">
        <f>+D332+E332</f>
        <v>0</v>
      </c>
      <c r="G332" s="15">
        <f t="shared" si="22"/>
        <v>-12133699</v>
      </c>
    </row>
    <row r="333" spans="1:9" ht="15" customHeight="1">
      <c r="A333" s="3" t="s">
        <v>574</v>
      </c>
      <c r="B333" s="32" t="s">
        <v>604</v>
      </c>
      <c r="C333" s="37">
        <v>52939145</v>
      </c>
      <c r="D333" s="44">
        <v>16542304.359999999</v>
      </c>
      <c r="E333" s="87">
        <v>0</v>
      </c>
      <c r="F333" s="87">
        <f>+D333+E333</f>
        <v>16542304.359999999</v>
      </c>
      <c r="G333" s="15">
        <f t="shared" si="22"/>
        <v>-36396840.640000001</v>
      </c>
    </row>
    <row r="334" spans="1:9" ht="15" customHeight="1">
      <c r="A334" s="3" t="s">
        <v>574</v>
      </c>
      <c r="B334" s="32" t="s">
        <v>605</v>
      </c>
      <c r="C334" s="7">
        <v>84000000</v>
      </c>
      <c r="D334" s="61">
        <v>0</v>
      </c>
      <c r="E334" s="87">
        <v>72011066</v>
      </c>
      <c r="F334" s="87">
        <f>+D334+E334</f>
        <v>72011066</v>
      </c>
      <c r="G334" s="15">
        <f t="shared" si="22"/>
        <v>-11988934</v>
      </c>
    </row>
    <row r="335" spans="1:9" ht="15" customHeight="1">
      <c r="A335" s="2" t="s">
        <v>576</v>
      </c>
      <c r="B335" s="10" t="s">
        <v>577</v>
      </c>
      <c r="C335" s="5">
        <f>+C336+C337</f>
        <v>72370000</v>
      </c>
      <c r="D335" s="5">
        <f>+D336+D337</f>
        <v>14609703.039999999</v>
      </c>
      <c r="E335" s="39">
        <f>+E336+E337</f>
        <v>16927308</v>
      </c>
      <c r="F335" s="39">
        <f>+F336+F337</f>
        <v>31537011.039999999</v>
      </c>
      <c r="G335" s="5">
        <f t="shared" si="22"/>
        <v>-40832988.960000001</v>
      </c>
      <c r="H335" s="5"/>
    </row>
    <row r="336" spans="1:9" ht="15" customHeight="1">
      <c r="A336" s="2" t="s">
        <v>578</v>
      </c>
      <c r="B336" s="10" t="s">
        <v>603</v>
      </c>
      <c r="C336" s="7">
        <v>36185000</v>
      </c>
      <c r="D336" s="44">
        <v>14609703.039999999</v>
      </c>
      <c r="E336" s="87">
        <v>0</v>
      </c>
      <c r="F336" s="87">
        <f>+D336+E336</f>
        <v>14609703.039999999</v>
      </c>
      <c r="G336" s="15">
        <f t="shared" si="22"/>
        <v>-21575296.960000001</v>
      </c>
      <c r="H336" s="33"/>
    </row>
    <row r="337" spans="1:8" ht="15" customHeight="1">
      <c r="A337" s="2" t="s">
        <v>578</v>
      </c>
      <c r="B337" s="10" t="s">
        <v>640</v>
      </c>
      <c r="C337" s="7">
        <v>36185000</v>
      </c>
      <c r="D337" s="39">
        <v>0</v>
      </c>
      <c r="E337" s="41">
        <v>16927308</v>
      </c>
      <c r="F337" s="67">
        <f>+D337+E337</f>
        <v>16927308</v>
      </c>
      <c r="G337" s="21">
        <f t="shared" si="22"/>
        <v>-19257692</v>
      </c>
    </row>
    <row r="338" spans="1:8" ht="15" customHeight="1">
      <c r="A338" s="2" t="s">
        <v>579</v>
      </c>
      <c r="B338" s="10" t="s">
        <v>580</v>
      </c>
      <c r="C338" s="5">
        <v>15000000</v>
      </c>
      <c r="D338" s="44">
        <v>6400608.46</v>
      </c>
      <c r="E338" s="67">
        <v>2133000</v>
      </c>
      <c r="F338" s="67">
        <f>+D338+E338</f>
        <v>8533608.4600000009</v>
      </c>
      <c r="G338" s="21">
        <f t="shared" si="22"/>
        <v>-6466391.5399999991</v>
      </c>
      <c r="H338" s="33"/>
    </row>
    <row r="339" spans="1:8" ht="15" customHeight="1">
      <c r="A339" s="2" t="s">
        <v>581</v>
      </c>
      <c r="B339" s="2" t="s">
        <v>582</v>
      </c>
      <c r="C339" s="5">
        <f>+C340</f>
        <v>19162500</v>
      </c>
      <c r="D339" s="5">
        <f>+D340</f>
        <v>0</v>
      </c>
      <c r="E339" s="39">
        <f>+E340</f>
        <v>0</v>
      </c>
      <c r="F339" s="39">
        <f>+F340</f>
        <v>0</v>
      </c>
      <c r="G339" s="5">
        <f t="shared" si="22"/>
        <v>-19162500</v>
      </c>
      <c r="H339" s="5"/>
    </row>
    <row r="340" spans="1:8" ht="15" customHeight="1">
      <c r="A340" s="3" t="s">
        <v>583</v>
      </c>
      <c r="B340" s="32" t="s">
        <v>690</v>
      </c>
      <c r="C340" s="37">
        <v>19162500</v>
      </c>
      <c r="D340" s="7">
        <v>0</v>
      </c>
      <c r="E340" s="87">
        <v>0</v>
      </c>
      <c r="F340" s="87">
        <f>+D340+E340</f>
        <v>0</v>
      </c>
      <c r="G340" s="15">
        <f t="shared" si="22"/>
        <v>-19162500</v>
      </c>
    </row>
    <row r="341" spans="1:8" ht="15" customHeight="1">
      <c r="A341" s="2" t="s">
        <v>585</v>
      </c>
      <c r="B341" s="2" t="s">
        <v>586</v>
      </c>
      <c r="C341" s="5">
        <f>+C342</f>
        <v>18000000</v>
      </c>
      <c r="D341" s="5">
        <f>+D342</f>
        <v>0</v>
      </c>
      <c r="E341" s="39">
        <f>+E342</f>
        <v>0</v>
      </c>
      <c r="F341" s="39">
        <f>+F342</f>
        <v>0</v>
      </c>
      <c r="G341" s="5">
        <f t="shared" si="22"/>
        <v>-18000000</v>
      </c>
    </row>
    <row r="342" spans="1:8" ht="15" customHeight="1">
      <c r="A342" s="3" t="s">
        <v>587</v>
      </c>
      <c r="B342" s="6" t="s">
        <v>588</v>
      </c>
      <c r="C342" s="37">
        <v>18000000</v>
      </c>
      <c r="D342" s="7">
        <v>0</v>
      </c>
      <c r="E342" s="87">
        <v>0</v>
      </c>
      <c r="F342" s="87">
        <f>+D342+E342</f>
        <v>0</v>
      </c>
      <c r="G342" s="15">
        <f t="shared" si="22"/>
        <v>-18000000</v>
      </c>
    </row>
    <row r="343" spans="1:8" ht="15" customHeight="1">
      <c r="A343" s="38" t="s">
        <v>642</v>
      </c>
      <c r="B343" s="38" t="s">
        <v>641</v>
      </c>
      <c r="C343" s="7">
        <f t="shared" ref="C343:F344" si="28">C344</f>
        <v>0</v>
      </c>
      <c r="D343" s="7">
        <f t="shared" si="28"/>
        <v>2705454.97</v>
      </c>
      <c r="E343" s="68">
        <f t="shared" si="28"/>
        <v>1470485</v>
      </c>
      <c r="F343" s="68">
        <f t="shared" si="28"/>
        <v>4175939.97</v>
      </c>
      <c r="G343" s="15">
        <f t="shared" si="22"/>
        <v>4175939.97</v>
      </c>
    </row>
    <row r="344" spans="1:8" ht="15" customHeight="1">
      <c r="A344" s="38" t="s">
        <v>644</v>
      </c>
      <c r="B344" s="38" t="s">
        <v>573</v>
      </c>
      <c r="C344" s="7">
        <f t="shared" si="28"/>
        <v>0</v>
      </c>
      <c r="D344" s="7">
        <f t="shared" si="28"/>
        <v>2705454.97</v>
      </c>
      <c r="E344" s="68">
        <f t="shared" si="28"/>
        <v>1470485</v>
      </c>
      <c r="F344" s="68">
        <f t="shared" si="28"/>
        <v>4175939.97</v>
      </c>
      <c r="G344" s="15">
        <f t="shared" ref="G344:G352" si="29">+F344-C344</f>
        <v>4175939.97</v>
      </c>
    </row>
    <row r="345" spans="1:8" ht="15" customHeight="1">
      <c r="A345" s="38" t="s">
        <v>645</v>
      </c>
      <c r="B345" s="38" t="s">
        <v>643</v>
      </c>
      <c r="C345" s="37">
        <v>0</v>
      </c>
      <c r="D345" s="44">
        <v>2705454.97</v>
      </c>
      <c r="E345" s="87">
        <v>1470485</v>
      </c>
      <c r="F345" s="87">
        <f>+D345+E345</f>
        <v>4175939.97</v>
      </c>
      <c r="G345" s="15">
        <f t="shared" si="29"/>
        <v>4175939.97</v>
      </c>
      <c r="H345" s="33"/>
    </row>
    <row r="346" spans="1:8" ht="15" customHeight="1">
      <c r="A346" s="62"/>
      <c r="B346" s="64" t="s">
        <v>646</v>
      </c>
      <c r="C346" s="63">
        <f>C347</f>
        <v>470000</v>
      </c>
      <c r="D346" s="63">
        <f>D350</f>
        <v>47500</v>
      </c>
      <c r="E346" s="63">
        <f>E350</f>
        <v>47500</v>
      </c>
      <c r="F346" s="63">
        <f>F350</f>
        <v>95000</v>
      </c>
      <c r="G346" s="63"/>
    </row>
    <row r="347" spans="1:8" ht="15" customHeight="1">
      <c r="A347" s="38" t="s">
        <v>650</v>
      </c>
      <c r="B347" s="38" t="s">
        <v>647</v>
      </c>
      <c r="C347" s="37">
        <v>470000</v>
      </c>
      <c r="D347" s="30">
        <v>0</v>
      </c>
      <c r="E347" s="87">
        <f t="shared" ref="E347:E348" si="30">D347/8*4</f>
        <v>0</v>
      </c>
      <c r="F347" s="87">
        <f>+D347+E347</f>
        <v>0</v>
      </c>
      <c r="G347" s="15">
        <f t="shared" si="29"/>
        <v>-470000</v>
      </c>
    </row>
    <row r="348" spans="1:8" ht="15" customHeight="1">
      <c r="A348" s="38" t="s">
        <v>651</v>
      </c>
      <c r="B348" s="38" t="s">
        <v>648</v>
      </c>
      <c r="C348" s="66">
        <v>470000</v>
      </c>
      <c r="D348" s="30">
        <v>0</v>
      </c>
      <c r="E348" s="87">
        <f t="shared" si="30"/>
        <v>0</v>
      </c>
      <c r="F348" s="87">
        <f t="shared" ref="F348:F352" si="31">+D348+E348</f>
        <v>0</v>
      </c>
      <c r="G348" s="15">
        <f t="shared" si="29"/>
        <v>-470000</v>
      </c>
    </row>
    <row r="349" spans="1:8" ht="15" customHeight="1">
      <c r="A349" s="82" t="s">
        <v>652</v>
      </c>
      <c r="B349" s="82" t="s">
        <v>649</v>
      </c>
      <c r="C349" s="61">
        <v>470000</v>
      </c>
      <c r="D349" s="30">
        <v>0</v>
      </c>
      <c r="E349" s="87">
        <f>D349/8*4</f>
        <v>0</v>
      </c>
      <c r="F349" s="87">
        <f t="shared" si="31"/>
        <v>0</v>
      </c>
      <c r="G349" s="15">
        <f t="shared" si="29"/>
        <v>-470000</v>
      </c>
    </row>
    <row r="350" spans="1:8" ht="15" customHeight="1">
      <c r="A350" s="49" t="s">
        <v>679</v>
      </c>
      <c r="B350" s="20" t="s">
        <v>680</v>
      </c>
      <c r="C350" s="21">
        <f>C351</f>
        <v>0</v>
      </c>
      <c r="D350" s="21">
        <f>D351</f>
        <v>47500</v>
      </c>
      <c r="E350" s="67">
        <f>E351</f>
        <v>47500</v>
      </c>
      <c r="F350" s="67">
        <f>F351</f>
        <v>95000</v>
      </c>
      <c r="G350" s="15">
        <f t="shared" si="29"/>
        <v>95000</v>
      </c>
    </row>
    <row r="351" spans="1:8" ht="15" customHeight="1">
      <c r="A351" s="49" t="s">
        <v>681</v>
      </c>
      <c r="B351" s="49" t="s">
        <v>682</v>
      </c>
      <c r="C351" s="39">
        <v>0</v>
      </c>
      <c r="D351" s="30">
        <f>+D352</f>
        <v>47500</v>
      </c>
      <c r="E351" s="30">
        <f>+E352</f>
        <v>47500</v>
      </c>
      <c r="F351" s="87">
        <f t="shared" si="31"/>
        <v>95000</v>
      </c>
      <c r="G351" s="15">
        <f t="shared" si="29"/>
        <v>95000</v>
      </c>
    </row>
    <row r="352" spans="1:8" ht="15" customHeight="1">
      <c r="A352" s="49" t="s">
        <v>683</v>
      </c>
      <c r="B352" s="49" t="s">
        <v>684</v>
      </c>
      <c r="C352" s="39">
        <v>0</v>
      </c>
      <c r="D352" s="44">
        <v>47500</v>
      </c>
      <c r="E352" s="39">
        <v>47500</v>
      </c>
      <c r="F352" s="87">
        <f t="shared" si="31"/>
        <v>95000</v>
      </c>
      <c r="G352" s="15">
        <f t="shared" si="29"/>
        <v>95000</v>
      </c>
    </row>
    <row r="353" spans="1:9" ht="15" customHeight="1">
      <c r="A353" s="65"/>
      <c r="B353" s="64" t="s">
        <v>589</v>
      </c>
      <c r="C353" s="63">
        <f>+C354+C357</f>
        <v>220230000</v>
      </c>
      <c r="D353" s="63">
        <f>+D354+D357</f>
        <v>222277402.44999999</v>
      </c>
      <c r="E353" s="63">
        <f>+E354+E357</f>
        <v>28097596.5</v>
      </c>
      <c r="F353" s="63">
        <f>+F354+F357</f>
        <v>250374998.94999999</v>
      </c>
      <c r="G353" s="63"/>
    </row>
    <row r="354" spans="1:9" s="20" customFormat="1" ht="15" customHeight="1">
      <c r="A354" s="2" t="s">
        <v>590</v>
      </c>
      <c r="B354" s="10" t="s">
        <v>591</v>
      </c>
      <c r="C354" s="5">
        <f t="shared" ref="C354:F355" si="32">+C355</f>
        <v>230000</v>
      </c>
      <c r="D354" s="5">
        <f t="shared" si="32"/>
        <v>2277402.4500000002</v>
      </c>
      <c r="E354" s="39">
        <f t="shared" si="32"/>
        <v>2168133.5</v>
      </c>
      <c r="F354" s="39">
        <f t="shared" si="32"/>
        <v>4445535.95</v>
      </c>
      <c r="G354" s="5">
        <f t="shared" ref="G354:G359" si="33">+F354-C354</f>
        <v>4215535.95</v>
      </c>
      <c r="H354"/>
      <c r="I354"/>
    </row>
    <row r="355" spans="1:9" ht="15" customHeight="1">
      <c r="A355" s="3" t="s">
        <v>592</v>
      </c>
      <c r="B355" s="6" t="s">
        <v>593</v>
      </c>
      <c r="C355" s="37">
        <v>230000</v>
      </c>
      <c r="D355" s="7">
        <f t="shared" si="32"/>
        <v>2277402.4500000002</v>
      </c>
      <c r="E355" s="68">
        <f t="shared" si="32"/>
        <v>2168133.5</v>
      </c>
      <c r="F355" s="68">
        <f t="shared" si="32"/>
        <v>4445535.95</v>
      </c>
      <c r="G355" s="7">
        <f t="shared" si="33"/>
        <v>4215535.95</v>
      </c>
    </row>
    <row r="356" spans="1:9" ht="15" customHeight="1">
      <c r="A356" s="3" t="s">
        <v>594</v>
      </c>
      <c r="B356" s="6" t="s">
        <v>595</v>
      </c>
      <c r="C356" s="37">
        <v>230000</v>
      </c>
      <c r="D356" s="41">
        <v>2277402.4500000002</v>
      </c>
      <c r="E356" s="41">
        <v>2168133.5</v>
      </c>
      <c r="F356" s="87">
        <f>+D356+E356</f>
        <v>4445535.95</v>
      </c>
      <c r="G356" s="15">
        <f t="shared" si="33"/>
        <v>4215535.95</v>
      </c>
    </row>
    <row r="357" spans="1:9" s="20" customFormat="1" ht="15" customHeight="1">
      <c r="A357" s="2" t="s">
        <v>596</v>
      </c>
      <c r="B357" s="2" t="s">
        <v>597</v>
      </c>
      <c r="C357" s="5">
        <v>220000000</v>
      </c>
      <c r="D357" s="30">
        <v>220000000</v>
      </c>
      <c r="E357" s="107">
        <v>25929463</v>
      </c>
      <c r="F357" s="67">
        <f>+D357+E357</f>
        <v>245929463</v>
      </c>
      <c r="G357" s="21">
        <f t="shared" si="33"/>
        <v>25929463</v>
      </c>
      <c r="H357" s="98"/>
      <c r="I357"/>
    </row>
    <row r="358" spans="1:9" ht="15" customHeight="1"/>
    <row r="359" spans="1:9" ht="15" customHeight="1" thickBot="1">
      <c r="A359" s="2" t="s">
        <v>598</v>
      </c>
      <c r="B359" s="2"/>
      <c r="C359" s="26">
        <f>+C353+C328+C307+C303+C295+C123+C66+C6+C346</f>
        <v>1587927936</v>
      </c>
      <c r="D359" s="26">
        <f>+D353+D328+D307+D303+D295+D123+D66+D6+D346</f>
        <v>878005844.00999987</v>
      </c>
      <c r="E359" s="90">
        <f>+E353+E328+E307+E303+E295+E123+E66+E6+E346</f>
        <v>425715786.45499998</v>
      </c>
      <c r="F359" s="90">
        <f>+F353+F328+F307+F303+F295+F123+F66+F6+F346</f>
        <v>1303721630.4649999</v>
      </c>
      <c r="G359" s="26">
        <f t="shared" si="33"/>
        <v>-284206305.53500009</v>
      </c>
    </row>
    <row r="360" spans="1:9" ht="15" customHeight="1" thickTop="1">
      <c r="E360" s="85"/>
      <c r="G360" s="15"/>
    </row>
    <row r="361" spans="1:9" ht="15" customHeight="1">
      <c r="C361" s="15"/>
      <c r="F361" s="87"/>
    </row>
    <row r="362" spans="1:9" ht="15" customHeight="1">
      <c r="A362" s="3"/>
      <c r="B362" s="3"/>
      <c r="C362" s="3"/>
      <c r="D362" s="103"/>
    </row>
    <row r="363" spans="1:9" ht="15" customHeight="1">
      <c r="F363" s="89"/>
    </row>
    <row r="364" spans="1:9" ht="15" customHeight="1">
      <c r="E364" s="85"/>
    </row>
    <row r="365" spans="1:9" ht="15" customHeight="1">
      <c r="A365" s="9"/>
      <c r="B365" s="9"/>
      <c r="E365" s="85"/>
    </row>
    <row r="366" spans="1:9" ht="6" customHeight="1">
      <c r="A366" s="9"/>
      <c r="B366" s="9"/>
      <c r="E366" s="85"/>
    </row>
    <row r="367" spans="1:9">
      <c r="E367" s="85"/>
    </row>
    <row r="368" spans="1:9">
      <c r="G368" s="30" t="s">
        <v>600</v>
      </c>
    </row>
    <row r="370" spans="6:6">
      <c r="F370" s="87"/>
    </row>
  </sheetData>
  <mergeCells count="1">
    <mergeCell ref="B1:G1"/>
  </mergeCells>
  <pageMargins left="0.70866141732283472" right="0.70866141732283472" top="0.74803149606299213" bottom="0.74803149606299213" header="0.31496062992125984" footer="0.31496062992125984"/>
  <pageSetup scale="65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370"/>
  <sheetViews>
    <sheetView tabSelected="1" workbookViewId="0">
      <selection activeCell="B180" sqref="B180"/>
    </sheetView>
  </sheetViews>
  <sheetFormatPr baseColWidth="10" defaultColWidth="6.85546875" defaultRowHeight="12.75"/>
  <cols>
    <col min="1" max="1" width="18.7109375" style="1" customWidth="1"/>
    <col min="2" max="2" width="58.5703125" style="6" customWidth="1"/>
    <col min="3" max="3" width="21.42578125" style="1" hidden="1" customWidth="1"/>
    <col min="4" max="4" width="20.5703125" style="1" hidden="1" customWidth="1"/>
    <col min="5" max="5" width="18.7109375" style="87" hidden="1" customWidth="1"/>
    <col min="6" max="6" width="20.5703125" style="85" hidden="1" customWidth="1"/>
    <col min="7" max="7" width="19.7109375" style="98" hidden="1" customWidth="1"/>
    <col min="8" max="8" width="21.7109375" style="98" bestFit="1" customWidth="1"/>
    <col min="9" max="9" width="22" style="1" bestFit="1" customWidth="1"/>
    <col min="10" max="10" width="18.7109375" style="1" bestFit="1" customWidth="1"/>
    <col min="11" max="16384" width="6.85546875" style="1"/>
  </cols>
  <sheetData>
    <row r="1" spans="1:10" ht="15">
      <c r="B1" s="153" t="s">
        <v>606</v>
      </c>
      <c r="C1" s="153"/>
      <c r="D1" s="153"/>
      <c r="E1" s="153"/>
      <c r="F1" s="153"/>
    </row>
    <row r="2" spans="1:10">
      <c r="E2" s="85"/>
    </row>
    <row r="3" spans="1:10">
      <c r="E3" s="85"/>
    </row>
    <row r="4" spans="1:10" ht="30">
      <c r="A4" s="11"/>
      <c r="B4" s="12" t="s">
        <v>0</v>
      </c>
      <c r="C4" s="13" t="s">
        <v>599</v>
      </c>
      <c r="D4" s="13" t="s">
        <v>691</v>
      </c>
      <c r="E4" s="86" t="s">
        <v>692</v>
      </c>
      <c r="F4" s="91" t="s">
        <v>688</v>
      </c>
      <c r="G4" s="99" t="s">
        <v>699</v>
      </c>
      <c r="H4" s="104" t="s">
        <v>700</v>
      </c>
    </row>
    <row r="5" spans="1:10" ht="25.5">
      <c r="A5" s="4" t="s">
        <v>1</v>
      </c>
      <c r="B5" s="4"/>
      <c r="E5" s="85"/>
    </row>
    <row r="6" spans="1:10" s="113" customFormat="1" ht="31.5">
      <c r="A6" s="108" t="s">
        <v>2</v>
      </c>
      <c r="B6" s="109" t="s">
        <v>3</v>
      </c>
      <c r="C6" s="110">
        <f t="shared" ref="C6:H6" si="0">+C7+C14+C20+C31+C33</f>
        <v>237421589</v>
      </c>
      <c r="D6" s="110">
        <f t="shared" si="0"/>
        <v>151958392.65000001</v>
      </c>
      <c r="E6" s="110">
        <f t="shared" si="0"/>
        <v>61646413.890000001</v>
      </c>
      <c r="F6" s="110">
        <f t="shared" si="0"/>
        <v>213825281.14000002</v>
      </c>
      <c r="G6" s="111">
        <f t="shared" si="0"/>
        <v>54464680.276500002</v>
      </c>
      <c r="H6" s="111">
        <f t="shared" si="0"/>
        <v>268289961.4165</v>
      </c>
      <c r="I6" s="112"/>
      <c r="J6" s="112"/>
    </row>
    <row r="7" spans="1:10" s="19" customFormat="1" ht="15">
      <c r="A7" s="16" t="s">
        <v>4</v>
      </c>
      <c r="B7" s="17" t="s">
        <v>5</v>
      </c>
      <c r="C7" s="18">
        <f t="shared" ref="C7:H7" si="1">+C8</f>
        <v>83528795</v>
      </c>
      <c r="D7" s="18">
        <f t="shared" si="1"/>
        <v>53444245.910000004</v>
      </c>
      <c r="E7" s="18">
        <f t="shared" si="1"/>
        <v>18009000</v>
      </c>
      <c r="F7" s="18">
        <f t="shared" si="1"/>
        <v>71453245.909999996</v>
      </c>
      <c r="G7" s="114">
        <f t="shared" si="1"/>
        <v>15136446.09</v>
      </c>
      <c r="H7" s="114">
        <f t="shared" si="1"/>
        <v>86589692</v>
      </c>
      <c r="I7" s="112"/>
      <c r="J7" s="112"/>
    </row>
    <row r="8" spans="1:10" s="19" customFormat="1" ht="15">
      <c r="A8" s="16" t="s">
        <v>6</v>
      </c>
      <c r="B8" s="17" t="s">
        <v>7</v>
      </c>
      <c r="C8" s="18">
        <f t="shared" ref="C8:H8" si="2">SUM(C9:C13)</f>
        <v>83528795</v>
      </c>
      <c r="D8" s="18">
        <f t="shared" si="2"/>
        <v>53444245.910000004</v>
      </c>
      <c r="E8" s="18">
        <f t="shared" si="2"/>
        <v>18009000</v>
      </c>
      <c r="F8" s="18">
        <f t="shared" si="2"/>
        <v>71453245.909999996</v>
      </c>
      <c r="G8" s="114">
        <f t="shared" si="2"/>
        <v>15136446.09</v>
      </c>
      <c r="H8" s="114">
        <f t="shared" si="2"/>
        <v>86589692</v>
      </c>
      <c r="I8" s="112"/>
      <c r="J8" s="112"/>
    </row>
    <row r="9" spans="1:10" s="19" customFormat="1" ht="15">
      <c r="A9" s="35" t="s">
        <v>8</v>
      </c>
      <c r="B9" s="36" t="s">
        <v>9</v>
      </c>
      <c r="C9" s="115">
        <v>74876718</v>
      </c>
      <c r="D9" s="96">
        <v>48581301.93</v>
      </c>
      <c r="E9" s="34">
        <v>16170000</v>
      </c>
      <c r="F9" s="34">
        <f>+D9+E9</f>
        <v>64751301.93</v>
      </c>
      <c r="G9" s="102">
        <f>+H9-F9</f>
        <v>12098086.07</v>
      </c>
      <c r="H9" s="102">
        <v>76849388</v>
      </c>
      <c r="I9" s="112"/>
      <c r="J9" s="112"/>
    </row>
    <row r="10" spans="1:10" s="19" customFormat="1" ht="15">
      <c r="A10" s="35" t="s">
        <v>10</v>
      </c>
      <c r="B10" s="36" t="s">
        <v>11</v>
      </c>
      <c r="C10" s="115">
        <v>4290949</v>
      </c>
      <c r="D10" s="96">
        <v>1238233.6399999999</v>
      </c>
      <c r="E10" s="34">
        <v>645000</v>
      </c>
      <c r="F10" s="34">
        <f>+D10+E10</f>
        <v>1883233.64</v>
      </c>
      <c r="G10" s="102">
        <f t="shared" ref="G10:G13" si="3">+H10-F10</f>
        <v>2709576.3600000003</v>
      </c>
      <c r="H10" s="102">
        <v>4592810</v>
      </c>
      <c r="I10" s="112"/>
      <c r="J10" s="112"/>
    </row>
    <row r="11" spans="1:10" s="19" customFormat="1" ht="15">
      <c r="A11" s="35" t="s">
        <v>12</v>
      </c>
      <c r="B11" s="36" t="s">
        <v>13</v>
      </c>
      <c r="C11" s="115">
        <v>836568</v>
      </c>
      <c r="D11" s="96">
        <v>1081332.45</v>
      </c>
      <c r="E11" s="34">
        <v>354000</v>
      </c>
      <c r="F11" s="34">
        <f>+D11+E11</f>
        <v>1435332.45</v>
      </c>
      <c r="G11" s="102">
        <f t="shared" si="3"/>
        <v>-139164.44999999995</v>
      </c>
      <c r="H11" s="102">
        <f>108014*12</f>
        <v>1296168</v>
      </c>
      <c r="I11" s="112"/>
      <c r="J11" s="112"/>
    </row>
    <row r="12" spans="1:10" s="19" customFormat="1" ht="15">
      <c r="A12" s="35" t="s">
        <v>14</v>
      </c>
      <c r="B12" s="116" t="s">
        <v>15</v>
      </c>
      <c r="C12" s="115">
        <v>3373760</v>
      </c>
      <c r="D12" s="96">
        <v>2414977.89</v>
      </c>
      <c r="E12" s="34">
        <v>840000</v>
      </c>
      <c r="F12" s="34">
        <f>+D12+E12</f>
        <v>3254977.89</v>
      </c>
      <c r="G12" s="102">
        <f t="shared" si="3"/>
        <v>403548.10999999987</v>
      </c>
      <c r="H12" s="102">
        <v>3658526</v>
      </c>
      <c r="I12" s="112"/>
      <c r="J12" s="112"/>
    </row>
    <row r="13" spans="1:10" s="19" customFormat="1" ht="15">
      <c r="A13" s="35" t="s">
        <v>16</v>
      </c>
      <c r="B13" s="116" t="s">
        <v>17</v>
      </c>
      <c r="C13" s="115">
        <v>150800</v>
      </c>
      <c r="D13" s="96">
        <v>128400</v>
      </c>
      <c r="E13" s="34">
        <v>0</v>
      </c>
      <c r="F13" s="34">
        <f>+D13+E13</f>
        <v>128400</v>
      </c>
      <c r="G13" s="102">
        <f t="shared" si="3"/>
        <v>64400</v>
      </c>
      <c r="H13" s="102">
        <v>192800</v>
      </c>
      <c r="I13" s="112"/>
      <c r="J13" s="112"/>
    </row>
    <row r="14" spans="1:10" s="19" customFormat="1" ht="15">
      <c r="A14" s="16" t="s">
        <v>18</v>
      </c>
      <c r="B14" s="17" t="s">
        <v>19</v>
      </c>
      <c r="C14" s="18">
        <f t="shared" ref="C14:H14" si="4">+C15+C19</f>
        <v>19826188</v>
      </c>
      <c r="D14" s="18">
        <f t="shared" si="4"/>
        <v>15170490.460000001</v>
      </c>
      <c r="E14" s="18">
        <f t="shared" si="4"/>
        <v>8799678</v>
      </c>
      <c r="F14" s="18">
        <f t="shared" si="4"/>
        <v>23970168.460000001</v>
      </c>
      <c r="G14" s="114">
        <f t="shared" si="4"/>
        <v>9430186.5399999972</v>
      </c>
      <c r="H14" s="114">
        <f t="shared" si="4"/>
        <v>33400355</v>
      </c>
      <c r="I14" s="112"/>
      <c r="J14" s="112"/>
    </row>
    <row r="15" spans="1:10" s="19" customFormat="1" ht="15">
      <c r="A15" s="16" t="s">
        <v>20</v>
      </c>
      <c r="B15" s="17" t="s">
        <v>21</v>
      </c>
      <c r="C15" s="18">
        <f>+C16</f>
        <v>19638148</v>
      </c>
      <c r="D15" s="18">
        <f>+D16</f>
        <v>15161041.210000001</v>
      </c>
      <c r="E15" s="18">
        <f>+E16</f>
        <v>8769678</v>
      </c>
      <c r="F15" s="18">
        <f>+F16</f>
        <v>23930719.210000001</v>
      </c>
      <c r="G15" s="18">
        <f t="shared" ref="G15:H15" si="5">+G16</f>
        <v>9281595.7899999972</v>
      </c>
      <c r="H15" s="114">
        <f t="shared" si="5"/>
        <v>33212315</v>
      </c>
      <c r="I15" s="112"/>
      <c r="J15" s="112"/>
    </row>
    <row r="16" spans="1:10" s="19" customFormat="1" ht="15">
      <c r="A16" s="16" t="s">
        <v>22</v>
      </c>
      <c r="B16" s="17" t="s">
        <v>21</v>
      </c>
      <c r="C16" s="18">
        <f>+C17+C18</f>
        <v>19638148</v>
      </c>
      <c r="D16" s="18">
        <f>+D17+D18</f>
        <v>15161041.210000001</v>
      </c>
      <c r="E16" s="18">
        <f>+E17+E18</f>
        <v>8769678</v>
      </c>
      <c r="F16" s="18">
        <f>+F17+F18</f>
        <v>23930719.210000001</v>
      </c>
      <c r="G16" s="18">
        <f t="shared" ref="G16:H16" si="6">+G17+G18</f>
        <v>9281595.7899999972</v>
      </c>
      <c r="H16" s="114">
        <f t="shared" si="6"/>
        <v>33212315</v>
      </c>
      <c r="I16" s="112"/>
      <c r="J16" s="112"/>
    </row>
    <row r="17" spans="1:10" s="19" customFormat="1" ht="15">
      <c r="A17" s="35" t="s">
        <v>23</v>
      </c>
      <c r="B17" s="36" t="s">
        <v>24</v>
      </c>
      <c r="C17" s="115">
        <v>19338148</v>
      </c>
      <c r="D17" s="96">
        <v>15004212.880000001</v>
      </c>
      <c r="E17" s="34">
        <v>8694678</v>
      </c>
      <c r="F17" s="34">
        <f>+D17+E17</f>
        <v>23698890.880000003</v>
      </c>
      <c r="G17" s="102">
        <f>+H17-F17</f>
        <v>9213424.1199999973</v>
      </c>
      <c r="H17" s="102">
        <f>31006355-H18-H19+2394000</f>
        <v>32912315</v>
      </c>
      <c r="I17" s="112"/>
      <c r="J17" s="112"/>
    </row>
    <row r="18" spans="1:10" s="19" customFormat="1" ht="15">
      <c r="A18" s="35" t="s">
        <v>25</v>
      </c>
      <c r="B18" s="36" t="s">
        <v>26</v>
      </c>
      <c r="C18" s="115">
        <v>300000</v>
      </c>
      <c r="D18" s="96">
        <v>156828.32999999999</v>
      </c>
      <c r="E18" s="34">
        <v>75000</v>
      </c>
      <c r="F18" s="34">
        <f>+D18+E18</f>
        <v>231828.33</v>
      </c>
      <c r="G18" s="102">
        <f t="shared" ref="G18:G19" si="7">+H18-F18</f>
        <v>68171.670000000013</v>
      </c>
      <c r="H18" s="117">
        <v>300000</v>
      </c>
      <c r="I18" s="112"/>
      <c r="J18" s="112"/>
    </row>
    <row r="19" spans="1:10" s="19" customFormat="1" ht="25.5">
      <c r="A19" s="35" t="s">
        <v>27</v>
      </c>
      <c r="B19" s="35" t="s">
        <v>28</v>
      </c>
      <c r="C19" s="115">
        <v>188040</v>
      </c>
      <c r="D19" s="96">
        <v>9449.25</v>
      </c>
      <c r="E19" s="34">
        <v>30000</v>
      </c>
      <c r="F19" s="34">
        <f>+D19+E19</f>
        <v>39449.25</v>
      </c>
      <c r="G19" s="102">
        <f t="shared" si="7"/>
        <v>148590.75</v>
      </c>
      <c r="H19" s="117">
        <v>188040</v>
      </c>
      <c r="I19" s="112"/>
      <c r="J19" s="112"/>
    </row>
    <row r="20" spans="1:10" s="19" customFormat="1" ht="15">
      <c r="A20" s="16" t="s">
        <v>29</v>
      </c>
      <c r="B20" s="17" t="s">
        <v>30</v>
      </c>
      <c r="C20" s="18">
        <f t="shared" ref="C20:F20" si="8">+C21+C24+C28</f>
        <v>38927537</v>
      </c>
      <c r="D20" s="18">
        <f t="shared" si="8"/>
        <v>24248166.869999997</v>
      </c>
      <c r="E20" s="18">
        <f t="shared" si="8"/>
        <v>8557068</v>
      </c>
      <c r="F20" s="18">
        <f t="shared" si="8"/>
        <v>33043709.469999999</v>
      </c>
      <c r="G20" s="18">
        <f t="shared" ref="G20:H20" si="9">+G21+G24+G28</f>
        <v>7988313.5300000012</v>
      </c>
      <c r="H20" s="114">
        <f t="shared" si="9"/>
        <v>41032023</v>
      </c>
      <c r="I20" s="112"/>
      <c r="J20" s="112"/>
    </row>
    <row r="21" spans="1:10" s="19" customFormat="1" ht="15">
      <c r="A21" s="16" t="s">
        <v>31</v>
      </c>
      <c r="B21" s="16" t="s">
        <v>32</v>
      </c>
      <c r="C21" s="18">
        <f>+C22+C23</f>
        <v>5823830</v>
      </c>
      <c r="D21" s="18">
        <f>+D22+D23</f>
        <v>2480059.4099999997</v>
      </c>
      <c r="E21" s="18">
        <f>+E22+E23</f>
        <v>842900</v>
      </c>
      <c r="F21" s="18">
        <f>+F22+F23</f>
        <v>3561434.01</v>
      </c>
      <c r="G21" s="18">
        <f t="shared" ref="G21:H21" si="10">+G22+G23</f>
        <v>2085662.9900000002</v>
      </c>
      <c r="H21" s="114">
        <f t="shared" si="10"/>
        <v>5647097</v>
      </c>
      <c r="I21" s="112"/>
      <c r="J21" s="112"/>
    </row>
    <row r="22" spans="1:10" s="19" customFormat="1" ht="15">
      <c r="A22" s="35" t="s">
        <v>33</v>
      </c>
      <c r="B22" s="36" t="s">
        <v>34</v>
      </c>
      <c r="C22" s="115">
        <v>2011776</v>
      </c>
      <c r="D22" s="115">
        <v>8625.4</v>
      </c>
      <c r="E22" s="34">
        <v>2900</v>
      </c>
      <c r="F22" s="34">
        <v>250000</v>
      </c>
      <c r="G22" s="102">
        <f>+H22-F22</f>
        <v>1761776</v>
      </c>
      <c r="H22" s="117">
        <v>2011776</v>
      </c>
      <c r="I22" s="112"/>
      <c r="J22" s="112"/>
    </row>
    <row r="23" spans="1:10" s="19" customFormat="1" ht="15">
      <c r="A23" s="35" t="s">
        <v>35</v>
      </c>
      <c r="B23" s="36" t="s">
        <v>36</v>
      </c>
      <c r="C23" s="115">
        <v>3812054</v>
      </c>
      <c r="D23" s="115">
        <v>2471434.0099999998</v>
      </c>
      <c r="E23" s="34">
        <v>840000</v>
      </c>
      <c r="F23" s="34">
        <f>+D23+E23</f>
        <v>3311434.01</v>
      </c>
      <c r="G23" s="102">
        <f>+H23-F23</f>
        <v>323886.99000000022</v>
      </c>
      <c r="H23" s="117">
        <v>3635321</v>
      </c>
      <c r="I23" s="112"/>
      <c r="J23" s="112"/>
    </row>
    <row r="24" spans="1:10" s="19" customFormat="1" ht="25.5">
      <c r="A24" s="16" t="s">
        <v>37</v>
      </c>
      <c r="B24" s="16" t="s">
        <v>38</v>
      </c>
      <c r="C24" s="18">
        <f t="shared" ref="C24:H24" si="11">SUBTOTAL(9,C25:C27)</f>
        <v>22327646</v>
      </c>
      <c r="D24" s="18">
        <f t="shared" si="11"/>
        <v>14282592.529999999</v>
      </c>
      <c r="E24" s="18">
        <f t="shared" si="11"/>
        <v>4804168</v>
      </c>
      <c r="F24" s="18">
        <f t="shared" si="11"/>
        <v>19086760.530000001</v>
      </c>
      <c r="G24" s="114">
        <f t="shared" si="11"/>
        <v>4604276.4700000007</v>
      </c>
      <c r="H24" s="114">
        <f t="shared" si="11"/>
        <v>23691037</v>
      </c>
      <c r="I24" s="112"/>
      <c r="J24" s="112"/>
    </row>
    <row r="25" spans="1:10" s="19" customFormat="1" ht="15">
      <c r="A25" s="35" t="s">
        <v>39</v>
      </c>
      <c r="B25" s="36" t="s">
        <v>40</v>
      </c>
      <c r="C25" s="115">
        <v>2896035</v>
      </c>
      <c r="D25" s="115">
        <v>1814171.99</v>
      </c>
      <c r="E25" s="34">
        <v>613168</v>
      </c>
      <c r="F25" s="34">
        <f>+D25+E25</f>
        <v>2427339.9900000002</v>
      </c>
      <c r="G25" s="102">
        <f t="shared" ref="G25:G30" si="12">+H25-F25</f>
        <v>442729.00999999978</v>
      </c>
      <c r="H25" s="117">
        <v>2870069</v>
      </c>
      <c r="I25" s="112"/>
      <c r="J25" s="112"/>
    </row>
    <row r="26" spans="1:10" s="19" customFormat="1" ht="15">
      <c r="A26" s="35" t="s">
        <v>41</v>
      </c>
      <c r="B26" s="36" t="s">
        <v>42</v>
      </c>
      <c r="C26" s="115">
        <v>658085</v>
      </c>
      <c r="D26" s="115">
        <v>417255.43</v>
      </c>
      <c r="E26" s="34">
        <v>141000</v>
      </c>
      <c r="F26" s="34">
        <f>+D26+E26</f>
        <v>558255.42999999993</v>
      </c>
      <c r="G26" s="102">
        <f t="shared" si="12"/>
        <v>168758.57000000007</v>
      </c>
      <c r="H26" s="117">
        <v>727014</v>
      </c>
      <c r="I26" s="112"/>
      <c r="J26" s="112"/>
    </row>
    <row r="27" spans="1:10" s="19" customFormat="1" ht="15">
      <c r="A27" s="35" t="s">
        <v>43</v>
      </c>
      <c r="B27" s="36" t="s">
        <v>44</v>
      </c>
      <c r="C27" s="115">
        <v>18773526</v>
      </c>
      <c r="D27" s="115">
        <v>12051165.109999999</v>
      </c>
      <c r="E27" s="34">
        <v>4050000</v>
      </c>
      <c r="F27" s="34">
        <f>+D27+E27</f>
        <v>16101165.109999999</v>
      </c>
      <c r="G27" s="102">
        <f t="shared" si="12"/>
        <v>3992788.8900000006</v>
      </c>
      <c r="H27" s="117">
        <v>20093954</v>
      </c>
      <c r="I27" s="112"/>
      <c r="J27" s="112"/>
    </row>
    <row r="28" spans="1:10" s="19" customFormat="1" ht="15">
      <c r="A28" s="16" t="s">
        <v>45</v>
      </c>
      <c r="B28" s="17" t="s">
        <v>46</v>
      </c>
      <c r="C28" s="18">
        <f t="shared" ref="C28:H28" si="13">+C29+C30</f>
        <v>10776061</v>
      </c>
      <c r="D28" s="18">
        <f t="shared" si="13"/>
        <v>7485514.9299999997</v>
      </c>
      <c r="E28" s="18">
        <f t="shared" si="13"/>
        <v>2910000</v>
      </c>
      <c r="F28" s="18">
        <f t="shared" si="13"/>
        <v>10395514.93</v>
      </c>
      <c r="G28" s="114">
        <f t="shared" si="13"/>
        <v>1298374.0699999998</v>
      </c>
      <c r="H28" s="114">
        <f t="shared" si="13"/>
        <v>11693889</v>
      </c>
      <c r="I28" s="112"/>
      <c r="J28" s="112"/>
    </row>
    <row r="29" spans="1:10" s="19" customFormat="1" ht="15">
      <c r="A29" s="35" t="s">
        <v>47</v>
      </c>
      <c r="B29" s="36" t="s">
        <v>48</v>
      </c>
      <c r="C29" s="115">
        <v>9000000</v>
      </c>
      <c r="D29" s="115">
        <v>6534750.4100000001</v>
      </c>
      <c r="E29" s="34">
        <v>2310000</v>
      </c>
      <c r="F29" s="34">
        <f>+D29+E29</f>
        <v>8844750.4100000001</v>
      </c>
      <c r="G29" s="102">
        <f t="shared" si="12"/>
        <v>887249.58999999985</v>
      </c>
      <c r="H29" s="117">
        <v>9732000</v>
      </c>
      <c r="I29" s="112"/>
      <c r="J29" s="112"/>
    </row>
    <row r="30" spans="1:10" s="19" customFormat="1" ht="15">
      <c r="A30" s="35" t="s">
        <v>49</v>
      </c>
      <c r="B30" s="36" t="s">
        <v>50</v>
      </c>
      <c r="C30" s="115">
        <v>1776061</v>
      </c>
      <c r="D30" s="115">
        <v>950764.52</v>
      </c>
      <c r="E30" s="34">
        <v>600000</v>
      </c>
      <c r="F30" s="34">
        <f>+D30+E30</f>
        <v>1550764.52</v>
      </c>
      <c r="G30" s="102">
        <f t="shared" si="12"/>
        <v>411124.47999999998</v>
      </c>
      <c r="H30" s="117">
        <v>1961889</v>
      </c>
      <c r="I30" s="112"/>
      <c r="J30" s="112"/>
    </row>
    <row r="31" spans="1:10" s="19" customFormat="1" ht="15">
      <c r="A31" s="16" t="s">
        <v>51</v>
      </c>
      <c r="B31" s="17" t="s">
        <v>52</v>
      </c>
      <c r="C31" s="18">
        <f t="shared" ref="C31:H31" si="14">+C32</f>
        <v>2694000</v>
      </c>
      <c r="D31" s="18">
        <f t="shared" si="14"/>
        <v>49500</v>
      </c>
      <c r="E31" s="18">
        <f t="shared" si="14"/>
        <v>1916500</v>
      </c>
      <c r="F31" s="18">
        <f t="shared" si="14"/>
        <v>1966000</v>
      </c>
      <c r="G31" s="114">
        <f t="shared" si="14"/>
        <v>98300</v>
      </c>
      <c r="H31" s="114">
        <f t="shared" si="14"/>
        <v>2064300</v>
      </c>
      <c r="I31" s="112"/>
      <c r="J31" s="112"/>
    </row>
    <row r="32" spans="1:10" s="19" customFormat="1" ht="25.5">
      <c r="A32" s="35" t="s">
        <v>53</v>
      </c>
      <c r="B32" s="118" t="s">
        <v>54</v>
      </c>
      <c r="C32" s="115">
        <v>2694000</v>
      </c>
      <c r="D32" s="115">
        <v>49500</v>
      </c>
      <c r="E32" s="34">
        <f>16500+1900000</f>
        <v>1916500</v>
      </c>
      <c r="F32" s="34">
        <f>+D32+E32</f>
        <v>1966000</v>
      </c>
      <c r="G32" s="102">
        <f>+F32*5%</f>
        <v>98300</v>
      </c>
      <c r="H32" s="102">
        <f>+F32+G32</f>
        <v>2064300</v>
      </c>
      <c r="I32" s="112"/>
      <c r="J32" s="112"/>
    </row>
    <row r="33" spans="1:10" s="19" customFormat="1" ht="15">
      <c r="A33" s="16" t="s">
        <v>55</v>
      </c>
      <c r="B33" s="17" t="s">
        <v>56</v>
      </c>
      <c r="C33" s="18">
        <f t="shared" ref="C33:H33" si="15">+C34+C35+C39+C63+C64</f>
        <v>92445069</v>
      </c>
      <c r="D33" s="18">
        <f t="shared" si="15"/>
        <v>59045989.410000004</v>
      </c>
      <c r="E33" s="18">
        <f t="shared" si="15"/>
        <v>24364167.890000001</v>
      </c>
      <c r="F33" s="18">
        <f t="shared" si="15"/>
        <v>83392157.300000012</v>
      </c>
      <c r="G33" s="114">
        <f t="shared" si="15"/>
        <v>21811434.116500009</v>
      </c>
      <c r="H33" s="114">
        <f t="shared" si="15"/>
        <v>105203591.4165</v>
      </c>
      <c r="I33" s="112"/>
      <c r="J33" s="112"/>
    </row>
    <row r="34" spans="1:10" s="19" customFormat="1" ht="25.5">
      <c r="A34" s="35" t="s">
        <v>57</v>
      </c>
      <c r="B34" s="35" t="s">
        <v>58</v>
      </c>
      <c r="C34" s="95">
        <v>921600</v>
      </c>
      <c r="D34" s="115">
        <v>614720</v>
      </c>
      <c r="E34" s="34">
        <v>207000</v>
      </c>
      <c r="F34" s="34">
        <f>+D34+E34</f>
        <v>821720</v>
      </c>
      <c r="G34" s="102">
        <f>+H34-F34</f>
        <v>103720</v>
      </c>
      <c r="H34" s="117">
        <v>925440</v>
      </c>
      <c r="I34" s="112"/>
      <c r="J34" s="112"/>
    </row>
    <row r="35" spans="1:10" s="19" customFormat="1" ht="15">
      <c r="A35" s="16" t="s">
        <v>59</v>
      </c>
      <c r="B35" s="17" t="s">
        <v>60</v>
      </c>
      <c r="C35" s="18">
        <f>+C36+C37+C38</f>
        <v>15353273</v>
      </c>
      <c r="D35" s="18">
        <f>+D36+D37+D38</f>
        <v>8594014.4800000004</v>
      </c>
      <c r="E35" s="18">
        <f>+E36+E37+E38</f>
        <v>2860500</v>
      </c>
      <c r="F35" s="18">
        <f>+F36+F37+F38</f>
        <v>11454514.48</v>
      </c>
      <c r="G35" s="18">
        <f t="shared" ref="G35:H35" si="16">+G36+G37+G38</f>
        <v>4942223.5199999996</v>
      </c>
      <c r="H35" s="114">
        <f t="shared" si="16"/>
        <v>16396738</v>
      </c>
      <c r="I35" s="112"/>
      <c r="J35" s="112"/>
    </row>
    <row r="36" spans="1:10" s="19" customFormat="1" ht="15">
      <c r="A36" s="35" t="s">
        <v>61</v>
      </c>
      <c r="B36" s="119" t="s">
        <v>62</v>
      </c>
      <c r="C36" s="95">
        <v>250000</v>
      </c>
      <c r="D36" s="115">
        <v>454432.33</v>
      </c>
      <c r="E36" s="34">
        <v>151500</v>
      </c>
      <c r="F36" s="34">
        <f>+D36+E36</f>
        <v>605932.33000000007</v>
      </c>
      <c r="G36" s="102">
        <f>+H36-F36</f>
        <v>-355932.33000000007</v>
      </c>
      <c r="H36" s="117">
        <v>250000</v>
      </c>
      <c r="I36" s="112"/>
      <c r="J36" s="112"/>
    </row>
    <row r="37" spans="1:10" s="19" customFormat="1" ht="15">
      <c r="A37" s="35" t="s">
        <v>63</v>
      </c>
      <c r="B37" s="36" t="s">
        <v>64</v>
      </c>
      <c r="C37" s="95">
        <v>432000</v>
      </c>
      <c r="D37" s="115">
        <v>0</v>
      </c>
      <c r="E37" s="34">
        <f t="shared" ref="E37" si="17">D37/8*4</f>
        <v>0</v>
      </c>
      <c r="F37" s="34">
        <f>+D37+E37</f>
        <v>0</v>
      </c>
      <c r="G37" s="102">
        <f t="shared" ref="G37:G38" si="18">+H37-F37</f>
        <v>432000</v>
      </c>
      <c r="H37" s="102">
        <v>432000</v>
      </c>
      <c r="I37" s="112"/>
      <c r="J37" s="112"/>
    </row>
    <row r="38" spans="1:10" s="19" customFormat="1" ht="15">
      <c r="A38" s="35" t="s">
        <v>65</v>
      </c>
      <c r="B38" s="36" t="s">
        <v>66</v>
      </c>
      <c r="C38" s="95">
        <v>14671273</v>
      </c>
      <c r="D38" s="115">
        <v>8139582.1500000004</v>
      </c>
      <c r="E38" s="34">
        <v>2709000</v>
      </c>
      <c r="F38" s="34">
        <f>+D38+E38</f>
        <v>10848582.15</v>
      </c>
      <c r="G38" s="102">
        <f t="shared" si="18"/>
        <v>4866155.8499999996</v>
      </c>
      <c r="H38" s="102">
        <v>15714738</v>
      </c>
      <c r="I38" s="112"/>
      <c r="J38" s="112"/>
    </row>
    <row r="39" spans="1:10" s="19" customFormat="1" ht="15">
      <c r="A39" s="16" t="s">
        <v>67</v>
      </c>
      <c r="B39" s="17" t="s">
        <v>68</v>
      </c>
      <c r="C39" s="18">
        <f>+C40+C47</f>
        <v>75554707</v>
      </c>
      <c r="D39" s="18">
        <f>+D40+D47</f>
        <v>49556053.140000001</v>
      </c>
      <c r="E39" s="18">
        <f>+E40+E47</f>
        <v>21202667.890000001</v>
      </c>
      <c r="F39" s="18">
        <f>+F40+F47</f>
        <v>70740721.030000001</v>
      </c>
      <c r="G39" s="18">
        <f t="shared" ref="G39:H39" si="19">+G40+G47</f>
        <v>16659396.386500008</v>
      </c>
      <c r="H39" s="114">
        <f t="shared" si="19"/>
        <v>87400117.416500002</v>
      </c>
      <c r="I39" s="112"/>
      <c r="J39" s="112"/>
    </row>
    <row r="40" spans="1:10" s="19" customFormat="1" ht="15">
      <c r="A40" s="16" t="s">
        <v>69</v>
      </c>
      <c r="B40" s="17" t="s">
        <v>70</v>
      </c>
      <c r="C40" s="18">
        <f>SUBTOTAL(9,C41:C46)</f>
        <v>27801107</v>
      </c>
      <c r="D40" s="18">
        <f>SUBTOTAL(9,D41:D46)</f>
        <v>17473998.41</v>
      </c>
      <c r="E40" s="18">
        <f>SUBTOTAL(9,E41:E46)</f>
        <v>7988080</v>
      </c>
      <c r="F40" s="18">
        <f>SUBTOTAL(9,F41:F46)</f>
        <v>25444078.409999996</v>
      </c>
      <c r="G40" s="18">
        <f t="shared" ref="G40:H40" si="20">SUBTOTAL(9,G41:G46)</f>
        <v>3253417.5900000008</v>
      </c>
      <c r="H40" s="114">
        <f t="shared" si="20"/>
        <v>28697496</v>
      </c>
      <c r="I40" s="112"/>
      <c r="J40" s="112"/>
    </row>
    <row r="41" spans="1:10" s="19" customFormat="1" ht="15">
      <c r="A41" s="35" t="s">
        <v>71</v>
      </c>
      <c r="B41" s="36" t="s">
        <v>72</v>
      </c>
      <c r="C41" s="95">
        <v>144000</v>
      </c>
      <c r="D41" s="96">
        <v>108000</v>
      </c>
      <c r="E41" s="34">
        <v>54000</v>
      </c>
      <c r="F41" s="34">
        <v>144000</v>
      </c>
      <c r="G41" s="102">
        <f>+H41-F41</f>
        <v>12000</v>
      </c>
      <c r="H41" s="117">
        <v>156000</v>
      </c>
      <c r="I41" s="112"/>
      <c r="J41" s="112"/>
    </row>
    <row r="42" spans="1:10" s="19" customFormat="1" ht="15">
      <c r="A42" s="35" t="s">
        <v>73</v>
      </c>
      <c r="B42" s="36" t="s">
        <v>74</v>
      </c>
      <c r="C42" s="95">
        <v>8688785</v>
      </c>
      <c r="D42" s="96">
        <v>5666554.5199999996</v>
      </c>
      <c r="E42" s="34">
        <v>1890000</v>
      </c>
      <c r="F42" s="34">
        <f t="shared" ref="F42:F46" si="21">+D42+E42</f>
        <v>7556554.5199999996</v>
      </c>
      <c r="G42" s="102">
        <f t="shared" ref="G42:G46" si="22">+H42-F42</f>
        <v>1392341.4800000004</v>
      </c>
      <c r="H42" s="117">
        <v>8948896</v>
      </c>
      <c r="I42" s="112"/>
      <c r="J42" s="112"/>
    </row>
    <row r="43" spans="1:10" s="19" customFormat="1" ht="15">
      <c r="A43" s="35" t="s">
        <v>75</v>
      </c>
      <c r="B43" s="36" t="s">
        <v>76</v>
      </c>
      <c r="C43" s="95">
        <v>549000</v>
      </c>
      <c r="D43" s="96">
        <v>268680</v>
      </c>
      <c r="E43" s="34">
        <v>60000</v>
      </c>
      <c r="F43" s="34">
        <f t="shared" si="21"/>
        <v>328680</v>
      </c>
      <c r="G43" s="102">
        <f t="shared" si="22"/>
        <v>211320</v>
      </c>
      <c r="H43" s="117">
        <v>540000</v>
      </c>
      <c r="I43" s="112"/>
      <c r="J43" s="112"/>
    </row>
    <row r="44" spans="1:10" s="19" customFormat="1" ht="15">
      <c r="A44" s="35" t="s">
        <v>77</v>
      </c>
      <c r="B44" s="36" t="s">
        <v>78</v>
      </c>
      <c r="C44" s="95">
        <v>1403002</v>
      </c>
      <c r="D44" s="115">
        <v>877517.04</v>
      </c>
      <c r="E44" s="34">
        <v>300000</v>
      </c>
      <c r="F44" s="34">
        <f t="shared" si="21"/>
        <v>1177517.04</v>
      </c>
      <c r="G44" s="102">
        <f t="shared" si="22"/>
        <v>358762.95999999996</v>
      </c>
      <c r="H44" s="117">
        <v>1536280</v>
      </c>
      <c r="I44" s="112"/>
      <c r="J44" s="112"/>
    </row>
    <row r="45" spans="1:10" s="19" customFormat="1" ht="15">
      <c r="A45" s="35" t="s">
        <v>79</v>
      </c>
      <c r="B45" s="36" t="s">
        <v>80</v>
      </c>
      <c r="C45" s="95">
        <v>16320</v>
      </c>
      <c r="D45" s="96">
        <v>12240</v>
      </c>
      <c r="E45" s="34">
        <v>4080</v>
      </c>
      <c r="F45" s="34">
        <f t="shared" si="21"/>
        <v>16320</v>
      </c>
      <c r="G45" s="102">
        <f t="shared" si="22"/>
        <v>0</v>
      </c>
      <c r="H45" s="117">
        <v>16320</v>
      </c>
      <c r="I45" s="112"/>
      <c r="J45" s="112"/>
    </row>
    <row r="46" spans="1:10" s="19" customFormat="1" ht="25.5">
      <c r="A46" s="35" t="s">
        <v>81</v>
      </c>
      <c r="B46" s="35" t="s">
        <v>82</v>
      </c>
      <c r="C46" s="95">
        <v>17000000</v>
      </c>
      <c r="D46" s="96">
        <v>10541006.85</v>
      </c>
      <c r="E46" s="34">
        <v>5680000</v>
      </c>
      <c r="F46" s="34">
        <f t="shared" si="21"/>
        <v>16221006.85</v>
      </c>
      <c r="G46" s="102">
        <f t="shared" si="22"/>
        <v>1278993.1500000004</v>
      </c>
      <c r="H46" s="117">
        <v>17500000</v>
      </c>
      <c r="I46" s="112"/>
      <c r="J46" s="112"/>
    </row>
    <row r="47" spans="1:10" s="19" customFormat="1" ht="15">
      <c r="A47" s="120" t="s">
        <v>83</v>
      </c>
      <c r="B47" s="121" t="s">
        <v>84</v>
      </c>
      <c r="C47" s="122">
        <f t="shared" ref="C47:H47" si="23">SUBTOTAL(9,C48:C62)</f>
        <v>47753600</v>
      </c>
      <c r="D47" s="122">
        <f t="shared" si="23"/>
        <v>32082054.729999997</v>
      </c>
      <c r="E47" s="122">
        <f t="shared" si="23"/>
        <v>13214587.890000001</v>
      </c>
      <c r="F47" s="122">
        <f t="shared" si="23"/>
        <v>45296642.620000005</v>
      </c>
      <c r="G47" s="123">
        <f t="shared" si="23"/>
        <v>13405978.796500007</v>
      </c>
      <c r="H47" s="123">
        <f t="shared" si="23"/>
        <v>58702621.416500002</v>
      </c>
      <c r="I47" s="112"/>
      <c r="J47" s="112"/>
    </row>
    <row r="48" spans="1:10" s="19" customFormat="1" ht="15">
      <c r="A48" s="35" t="s">
        <v>85</v>
      </c>
      <c r="B48" s="36" t="s">
        <v>86</v>
      </c>
      <c r="C48" s="95">
        <v>10800</v>
      </c>
      <c r="D48" s="115">
        <v>6300</v>
      </c>
      <c r="E48" s="34">
        <v>0</v>
      </c>
      <c r="F48" s="34">
        <f t="shared" ref="F48:F63" si="24">+D48+E48</f>
        <v>6300</v>
      </c>
      <c r="G48" s="102">
        <f>+H48-F48</f>
        <v>4500</v>
      </c>
      <c r="H48" s="117">
        <v>10800</v>
      </c>
      <c r="I48" s="112"/>
      <c r="J48" s="112"/>
    </row>
    <row r="49" spans="1:10" s="19" customFormat="1" ht="15" customHeight="1">
      <c r="A49" s="35" t="s">
        <v>87</v>
      </c>
      <c r="B49" s="36" t="s">
        <v>88</v>
      </c>
      <c r="C49" s="95">
        <v>1422000</v>
      </c>
      <c r="D49" s="115">
        <v>864337.5</v>
      </c>
      <c r="E49" s="34">
        <v>291000</v>
      </c>
      <c r="F49" s="34">
        <f t="shared" si="24"/>
        <v>1155337.5</v>
      </c>
      <c r="G49" s="102">
        <f t="shared" ref="G49:G65" si="25">+H49-F49</f>
        <v>266662.5</v>
      </c>
      <c r="H49" s="117">
        <v>1422000</v>
      </c>
      <c r="I49" s="112"/>
      <c r="J49" s="112"/>
    </row>
    <row r="50" spans="1:10" s="19" customFormat="1" ht="15" customHeight="1">
      <c r="A50" s="35" t="s">
        <v>89</v>
      </c>
      <c r="B50" s="36" t="s">
        <v>90</v>
      </c>
      <c r="C50" s="95">
        <v>1327200</v>
      </c>
      <c r="D50" s="115">
        <v>904607.34</v>
      </c>
      <c r="E50" s="34">
        <v>199200</v>
      </c>
      <c r="F50" s="34">
        <f t="shared" si="24"/>
        <v>1103807.3399999999</v>
      </c>
      <c r="G50" s="102">
        <f t="shared" si="25"/>
        <v>223392.66000000015</v>
      </c>
      <c r="H50" s="117">
        <v>1327200</v>
      </c>
      <c r="I50" s="112"/>
      <c r="J50" s="112"/>
    </row>
    <row r="51" spans="1:10" s="19" customFormat="1" ht="15" customHeight="1">
      <c r="A51" s="35" t="s">
        <v>91</v>
      </c>
      <c r="B51" s="36" t="s">
        <v>92</v>
      </c>
      <c r="C51" s="95">
        <v>9600</v>
      </c>
      <c r="D51" s="115">
        <v>800</v>
      </c>
      <c r="E51" s="34">
        <v>800</v>
      </c>
      <c r="F51" s="34">
        <f t="shared" si="24"/>
        <v>1600</v>
      </c>
      <c r="G51" s="102">
        <f t="shared" si="25"/>
        <v>10400</v>
      </c>
      <c r="H51" s="117">
        <v>12000</v>
      </c>
      <c r="I51" s="112"/>
      <c r="J51" s="112"/>
    </row>
    <row r="52" spans="1:10" s="19" customFormat="1" ht="15" customHeight="1">
      <c r="A52" s="35" t="s">
        <v>93</v>
      </c>
      <c r="B52" s="36" t="s">
        <v>94</v>
      </c>
      <c r="C52" s="95">
        <v>462500</v>
      </c>
      <c r="D52" s="115">
        <v>419629.52</v>
      </c>
      <c r="E52" s="34">
        <v>140000</v>
      </c>
      <c r="F52" s="34">
        <f t="shared" si="24"/>
        <v>559629.52</v>
      </c>
      <c r="G52" s="102">
        <f t="shared" si="25"/>
        <v>-97129.520000000019</v>
      </c>
      <c r="H52" s="117">
        <v>462500</v>
      </c>
      <c r="I52" s="112"/>
      <c r="J52" s="112"/>
    </row>
    <row r="53" spans="1:10" s="19" customFormat="1" ht="15" customHeight="1">
      <c r="A53" s="35" t="s">
        <v>95</v>
      </c>
      <c r="B53" s="36" t="s">
        <v>96</v>
      </c>
      <c r="C53" s="95">
        <v>10000</v>
      </c>
      <c r="D53" s="115">
        <v>10000</v>
      </c>
      <c r="E53" s="34">
        <v>3333.33</v>
      </c>
      <c r="F53" s="34">
        <f t="shared" si="24"/>
        <v>13333.33</v>
      </c>
      <c r="G53" s="102">
        <f>+F53*0.05</f>
        <v>666.66650000000004</v>
      </c>
      <c r="H53" s="102">
        <f>+F53+G53</f>
        <v>13999.996499999999</v>
      </c>
      <c r="I53" s="112"/>
      <c r="J53" s="112"/>
    </row>
    <row r="54" spans="1:10" s="19" customFormat="1" ht="15" customHeight="1">
      <c r="A54" s="35" t="s">
        <v>97</v>
      </c>
      <c r="B54" s="36" t="s">
        <v>98</v>
      </c>
      <c r="C54" s="95">
        <v>16000000</v>
      </c>
      <c r="D54" s="115">
        <v>9662212.8100000005</v>
      </c>
      <c r="E54" s="34">
        <v>4159334.7</v>
      </c>
      <c r="F54" s="34">
        <f t="shared" si="24"/>
        <v>13821547.510000002</v>
      </c>
      <c r="G54" s="102">
        <f t="shared" si="25"/>
        <v>10660939.940000001</v>
      </c>
      <c r="H54" s="102">
        <f>9839913.49+14642573.96</f>
        <v>24482487.450000003</v>
      </c>
      <c r="I54" s="112"/>
      <c r="J54" s="112"/>
    </row>
    <row r="55" spans="1:10" s="19" customFormat="1" ht="15" customHeight="1">
      <c r="A55" s="124" t="s">
        <v>654</v>
      </c>
      <c r="B55" s="124" t="s">
        <v>653</v>
      </c>
      <c r="C55" s="95">
        <v>0</v>
      </c>
      <c r="D55" s="115">
        <v>116344.61</v>
      </c>
      <c r="E55" s="34">
        <v>0</v>
      </c>
      <c r="F55" s="34">
        <f>+D55+E55</f>
        <v>116344.61</v>
      </c>
      <c r="G55" s="102">
        <f t="shared" si="25"/>
        <v>3655.3899999999994</v>
      </c>
      <c r="H55" s="117">
        <v>120000</v>
      </c>
      <c r="I55" s="112"/>
      <c r="J55" s="112"/>
    </row>
    <row r="56" spans="1:10" s="19" customFormat="1" ht="15" customHeight="1">
      <c r="A56" s="118" t="s">
        <v>99</v>
      </c>
      <c r="B56" s="125" t="s">
        <v>100</v>
      </c>
      <c r="C56" s="95">
        <v>284000</v>
      </c>
      <c r="D56" s="115">
        <v>290968.26</v>
      </c>
      <c r="E56" s="34">
        <v>120141.9</v>
      </c>
      <c r="F56" s="34">
        <f t="shared" si="24"/>
        <v>411110.16000000003</v>
      </c>
      <c r="G56" s="102">
        <f t="shared" si="25"/>
        <v>90416.489999999991</v>
      </c>
      <c r="H56" s="102">
        <f>299955.24+201571.41</f>
        <v>501526.65</v>
      </c>
      <c r="I56" s="112"/>
      <c r="J56" s="112"/>
    </row>
    <row r="57" spans="1:10" s="19" customFormat="1" ht="15" customHeight="1">
      <c r="A57" s="118" t="s">
        <v>101</v>
      </c>
      <c r="B57" s="125" t="s">
        <v>102</v>
      </c>
      <c r="C57" s="95">
        <v>23500000</v>
      </c>
      <c r="D57" s="115">
        <v>16691925.359999999</v>
      </c>
      <c r="E57" s="34">
        <v>5864849.0999999996</v>
      </c>
      <c r="F57" s="34">
        <f t="shared" si="24"/>
        <v>22556774.460000001</v>
      </c>
      <c r="G57" s="102">
        <f t="shared" si="25"/>
        <v>1925712.9900000021</v>
      </c>
      <c r="H57" s="102">
        <f>9839913.49+14642573.96</f>
        <v>24482487.450000003</v>
      </c>
      <c r="I57" s="112"/>
      <c r="J57" s="112"/>
    </row>
    <row r="58" spans="1:10" s="19" customFormat="1" ht="15" customHeight="1">
      <c r="A58" s="118" t="s">
        <v>103</v>
      </c>
      <c r="B58" s="125" t="s">
        <v>104</v>
      </c>
      <c r="C58" s="95">
        <v>2000000</v>
      </c>
      <c r="D58" s="115">
        <v>686196.06</v>
      </c>
      <c r="E58" s="34">
        <f>657430.36+400000+400000</f>
        <v>1457430.3599999999</v>
      </c>
      <c r="F58" s="34">
        <f t="shared" si="24"/>
        <v>2143626.42</v>
      </c>
      <c r="G58" s="102">
        <f t="shared" si="25"/>
        <v>6373.5800000000745</v>
      </c>
      <c r="H58" s="102">
        <v>2150000</v>
      </c>
      <c r="I58" s="112"/>
      <c r="J58" s="112"/>
    </row>
    <row r="59" spans="1:10" s="19" customFormat="1" ht="15" customHeight="1">
      <c r="A59" s="124" t="s">
        <v>656</v>
      </c>
      <c r="B59" s="124" t="s">
        <v>655</v>
      </c>
      <c r="C59" s="95">
        <v>0</v>
      </c>
      <c r="D59" s="115">
        <v>3883.62</v>
      </c>
      <c r="E59" s="34">
        <v>1500</v>
      </c>
      <c r="F59" s="34">
        <f t="shared" si="24"/>
        <v>5383.62</v>
      </c>
      <c r="G59" s="102">
        <f t="shared" si="25"/>
        <v>616.38000000000011</v>
      </c>
      <c r="H59" s="117">
        <v>6000</v>
      </c>
      <c r="I59" s="112"/>
      <c r="J59" s="112"/>
    </row>
    <row r="60" spans="1:10" s="19" customFormat="1" ht="15" customHeight="1">
      <c r="A60" s="35" t="s">
        <v>105</v>
      </c>
      <c r="B60" s="36" t="s">
        <v>106</v>
      </c>
      <c r="C60" s="95">
        <v>189000</v>
      </c>
      <c r="D60" s="115">
        <v>0</v>
      </c>
      <c r="E60" s="34">
        <v>125000</v>
      </c>
      <c r="F60" s="34">
        <f t="shared" si="24"/>
        <v>125000</v>
      </c>
      <c r="G60" s="102">
        <f t="shared" si="25"/>
        <v>5000</v>
      </c>
      <c r="H60" s="102">
        <v>130000</v>
      </c>
      <c r="I60" s="112"/>
      <c r="J60" s="112"/>
    </row>
    <row r="61" spans="1:10" s="19" customFormat="1" ht="15" customHeight="1">
      <c r="A61" s="35" t="s">
        <v>107</v>
      </c>
      <c r="B61" s="36" t="s">
        <v>108</v>
      </c>
      <c r="C61" s="95">
        <v>2530000</v>
      </c>
      <c r="D61" s="115">
        <v>2424849.65</v>
      </c>
      <c r="E61" s="34">
        <v>851998.5</v>
      </c>
      <c r="F61" s="34">
        <f t="shared" si="24"/>
        <v>3276848.15</v>
      </c>
      <c r="G61" s="102">
        <f t="shared" si="25"/>
        <v>279771.7200000002</v>
      </c>
      <c r="H61" s="102">
        <f>1429464.15+2127155.72</f>
        <v>3556619.87</v>
      </c>
      <c r="I61" s="112"/>
      <c r="J61" s="112"/>
    </row>
    <row r="62" spans="1:10" s="19" customFormat="1" ht="15" customHeight="1">
      <c r="A62" s="35" t="s">
        <v>109</v>
      </c>
      <c r="B62" s="36" t="s">
        <v>110</v>
      </c>
      <c r="C62" s="95">
        <v>8500</v>
      </c>
      <c r="D62" s="115">
        <v>0</v>
      </c>
      <c r="E62" s="34">
        <f t="shared" ref="E62" si="26">+D62/8*4</f>
        <v>0</v>
      </c>
      <c r="F62" s="34">
        <f t="shared" si="24"/>
        <v>0</v>
      </c>
      <c r="G62" s="102">
        <f t="shared" si="25"/>
        <v>25000</v>
      </c>
      <c r="H62" s="102">
        <v>25000</v>
      </c>
      <c r="I62" s="112"/>
      <c r="J62" s="112"/>
    </row>
    <row r="63" spans="1:10" s="19" customFormat="1" ht="15" customHeight="1">
      <c r="A63" s="16" t="s">
        <v>111</v>
      </c>
      <c r="B63" s="16" t="s">
        <v>112</v>
      </c>
      <c r="C63" s="95">
        <v>180000</v>
      </c>
      <c r="D63" s="95">
        <v>0</v>
      </c>
      <c r="E63" s="18">
        <v>0</v>
      </c>
      <c r="F63" s="34">
        <f t="shared" si="24"/>
        <v>0</v>
      </c>
      <c r="G63" s="102">
        <f t="shared" si="25"/>
        <v>0</v>
      </c>
      <c r="H63" s="102">
        <v>0</v>
      </c>
      <c r="I63" s="112"/>
      <c r="J63" s="112"/>
    </row>
    <row r="64" spans="1:10" s="19" customFormat="1" ht="15" customHeight="1">
      <c r="A64" s="16" t="s">
        <v>113</v>
      </c>
      <c r="B64" s="16" t="s">
        <v>114</v>
      </c>
      <c r="C64" s="18">
        <f>+C65</f>
        <v>435489</v>
      </c>
      <c r="D64" s="18">
        <f>+D65</f>
        <v>281201.78999999998</v>
      </c>
      <c r="E64" s="18">
        <f>+E65</f>
        <v>94000</v>
      </c>
      <c r="F64" s="18">
        <f>+F65</f>
        <v>375201.79</v>
      </c>
      <c r="G64" s="18">
        <f t="shared" ref="G64:H64" si="27">+G65</f>
        <v>106094.21000000002</v>
      </c>
      <c r="H64" s="114">
        <f t="shared" si="27"/>
        <v>481296</v>
      </c>
      <c r="I64" s="112"/>
      <c r="J64" s="112"/>
    </row>
    <row r="65" spans="1:10" s="19" customFormat="1" ht="15">
      <c r="A65" s="35" t="s">
        <v>115</v>
      </c>
      <c r="B65" s="36" t="s">
        <v>116</v>
      </c>
      <c r="C65" s="95">
        <v>435489</v>
      </c>
      <c r="D65" s="115">
        <v>281201.78999999998</v>
      </c>
      <c r="E65" s="34">
        <v>94000</v>
      </c>
      <c r="F65" s="34">
        <f>+D65+E65</f>
        <v>375201.79</v>
      </c>
      <c r="G65" s="102">
        <f t="shared" si="25"/>
        <v>106094.21000000002</v>
      </c>
      <c r="H65" s="117">
        <v>481296</v>
      </c>
      <c r="I65" s="112"/>
      <c r="J65" s="112"/>
    </row>
    <row r="66" spans="1:10" s="113" customFormat="1" ht="31.5">
      <c r="A66" s="108" t="s">
        <v>117</v>
      </c>
      <c r="B66" s="109" t="s">
        <v>118</v>
      </c>
      <c r="C66" s="110">
        <f t="shared" ref="C66:H66" si="28">+C67+C74+C77+C81+C91+C101+C106+C111</f>
        <v>53734953</v>
      </c>
      <c r="D66" s="110">
        <f t="shared" si="28"/>
        <v>22187169.559999999</v>
      </c>
      <c r="E66" s="110">
        <f t="shared" si="28"/>
        <v>12540071.959999999</v>
      </c>
      <c r="F66" s="110">
        <f t="shared" si="28"/>
        <v>35514524.190000005</v>
      </c>
      <c r="G66" s="111">
        <f t="shared" si="28"/>
        <v>2187737.5542499996</v>
      </c>
      <c r="H66" s="111">
        <f t="shared" si="28"/>
        <v>37702261.744249992</v>
      </c>
      <c r="I66" s="112"/>
      <c r="J66" s="112"/>
    </row>
    <row r="67" spans="1:10" s="19" customFormat="1" ht="25.5">
      <c r="A67" s="16" t="s">
        <v>119</v>
      </c>
      <c r="B67" s="16" t="s">
        <v>120</v>
      </c>
      <c r="C67" s="18">
        <f t="shared" ref="C67:H67" si="29">+C68+C70+C72+C73</f>
        <v>3270000</v>
      </c>
      <c r="D67" s="18">
        <f t="shared" si="29"/>
        <v>1705290.15</v>
      </c>
      <c r="E67" s="18">
        <f t="shared" si="29"/>
        <v>943215</v>
      </c>
      <c r="F67" s="18">
        <f t="shared" si="29"/>
        <v>2755768.85</v>
      </c>
      <c r="G67" s="114">
        <f t="shared" si="29"/>
        <v>137788.4425</v>
      </c>
      <c r="H67" s="114">
        <f t="shared" si="29"/>
        <v>2893557.2925</v>
      </c>
      <c r="I67" s="112"/>
      <c r="J67" s="112"/>
    </row>
    <row r="68" spans="1:10" s="25" customFormat="1" ht="15">
      <c r="A68" s="16" t="s">
        <v>121</v>
      </c>
      <c r="B68" s="16" t="s">
        <v>122</v>
      </c>
      <c r="C68" s="18">
        <f t="shared" ref="C68:H68" si="30">+C69</f>
        <v>1500000</v>
      </c>
      <c r="D68" s="18">
        <f t="shared" si="30"/>
        <v>767624.17</v>
      </c>
      <c r="E68" s="18">
        <f t="shared" si="30"/>
        <v>467991</v>
      </c>
      <c r="F68" s="18">
        <f t="shared" si="30"/>
        <v>1235615.17</v>
      </c>
      <c r="G68" s="18">
        <f t="shared" si="30"/>
        <v>61780.758499999996</v>
      </c>
      <c r="H68" s="114">
        <f t="shared" si="30"/>
        <v>1297395.9284999999</v>
      </c>
      <c r="I68" s="112"/>
      <c r="J68" s="112"/>
    </row>
    <row r="69" spans="1:10" s="19" customFormat="1" ht="15">
      <c r="A69" s="35" t="s">
        <v>123</v>
      </c>
      <c r="B69" s="36" t="s">
        <v>124</v>
      </c>
      <c r="C69" s="95">
        <v>1500000</v>
      </c>
      <c r="D69" s="96">
        <v>767624.17</v>
      </c>
      <c r="E69" s="34">
        <v>467991</v>
      </c>
      <c r="F69" s="34">
        <f>+D69+E69</f>
        <v>1235615.17</v>
      </c>
      <c r="G69" s="102">
        <f>+F69*5%</f>
        <v>61780.758499999996</v>
      </c>
      <c r="H69" s="102">
        <f>+F69+G69</f>
        <v>1297395.9284999999</v>
      </c>
      <c r="I69" s="112"/>
      <c r="J69" s="112"/>
    </row>
    <row r="70" spans="1:10" s="25" customFormat="1" ht="15">
      <c r="A70" s="16" t="s">
        <v>125</v>
      </c>
      <c r="B70" s="16" t="s">
        <v>126</v>
      </c>
      <c r="C70" s="18">
        <f t="shared" ref="C70:H70" si="31">+C71</f>
        <v>700000</v>
      </c>
      <c r="D70" s="18">
        <f t="shared" si="31"/>
        <v>53045.85</v>
      </c>
      <c r="E70" s="18">
        <f t="shared" si="31"/>
        <v>66039</v>
      </c>
      <c r="F70" s="18">
        <f t="shared" si="31"/>
        <v>226348.55</v>
      </c>
      <c r="G70" s="114">
        <f t="shared" si="31"/>
        <v>11317.4275</v>
      </c>
      <c r="H70" s="114">
        <f t="shared" si="31"/>
        <v>237665.97749999998</v>
      </c>
      <c r="I70" s="112"/>
      <c r="J70" s="112"/>
    </row>
    <row r="71" spans="1:10" s="19" customFormat="1" ht="25.5">
      <c r="A71" s="35" t="s">
        <v>127</v>
      </c>
      <c r="B71" s="35" t="s">
        <v>128</v>
      </c>
      <c r="C71" s="95">
        <v>700000</v>
      </c>
      <c r="D71" s="96">
        <v>53045.85</v>
      </c>
      <c r="E71" s="34">
        <v>66039</v>
      </c>
      <c r="F71" s="34">
        <v>226348.55</v>
      </c>
      <c r="G71" s="102">
        <f t="shared" ref="G71:G73" si="32">+F71*5%</f>
        <v>11317.4275</v>
      </c>
      <c r="H71" s="102">
        <f t="shared" ref="H71:H73" si="33">+F71+G71</f>
        <v>237665.97749999998</v>
      </c>
      <c r="I71" s="112"/>
      <c r="J71" s="112"/>
    </row>
    <row r="72" spans="1:10" s="19" customFormat="1" ht="15">
      <c r="A72" s="35" t="s">
        <v>129</v>
      </c>
      <c r="B72" s="36" t="s">
        <v>130</v>
      </c>
      <c r="C72" s="95">
        <v>1000000</v>
      </c>
      <c r="D72" s="96">
        <v>612903.43999999994</v>
      </c>
      <c r="E72" s="34">
        <v>336000</v>
      </c>
      <c r="F72" s="34">
        <f>+D72+E72</f>
        <v>948903.44</v>
      </c>
      <c r="G72" s="102">
        <f t="shared" si="32"/>
        <v>47445.171999999999</v>
      </c>
      <c r="H72" s="102">
        <f t="shared" si="33"/>
        <v>996348.61199999996</v>
      </c>
      <c r="I72" s="112"/>
      <c r="J72" s="112"/>
    </row>
    <row r="73" spans="1:10" s="19" customFormat="1" ht="15">
      <c r="A73" s="35" t="s">
        <v>131</v>
      </c>
      <c r="B73" s="36" t="s">
        <v>132</v>
      </c>
      <c r="C73" s="95">
        <v>70000</v>
      </c>
      <c r="D73" s="96">
        <v>271716.69</v>
      </c>
      <c r="E73" s="34">
        <v>73185</v>
      </c>
      <c r="F73" s="34">
        <f>+D73+E73</f>
        <v>344901.69</v>
      </c>
      <c r="G73" s="102">
        <f t="shared" si="32"/>
        <v>17245.084500000001</v>
      </c>
      <c r="H73" s="102">
        <f t="shared" si="33"/>
        <v>362146.7745</v>
      </c>
      <c r="I73" s="112"/>
      <c r="J73" s="112"/>
    </row>
    <row r="74" spans="1:10" s="19" customFormat="1" ht="15">
      <c r="A74" s="16" t="s">
        <v>133</v>
      </c>
      <c r="B74" s="17" t="s">
        <v>134</v>
      </c>
      <c r="C74" s="18">
        <f t="shared" ref="C74:H74" si="34">+C75+C76</f>
        <v>502000</v>
      </c>
      <c r="D74" s="18">
        <f t="shared" si="34"/>
        <v>310189.62000000005</v>
      </c>
      <c r="E74" s="18">
        <f t="shared" si="34"/>
        <v>152678.51999999999</v>
      </c>
      <c r="F74" s="18">
        <f t="shared" si="34"/>
        <v>462868.14000000007</v>
      </c>
      <c r="G74" s="114">
        <f t="shared" si="34"/>
        <v>23143.407000000003</v>
      </c>
      <c r="H74" s="114">
        <f t="shared" si="34"/>
        <v>486011.54700000008</v>
      </c>
      <c r="I74" s="112"/>
      <c r="J74" s="112"/>
    </row>
    <row r="75" spans="1:10" s="19" customFormat="1" ht="15">
      <c r="A75" s="35" t="s">
        <v>135</v>
      </c>
      <c r="B75" s="36" t="s">
        <v>136</v>
      </c>
      <c r="C75" s="95">
        <v>500000</v>
      </c>
      <c r="D75" s="96">
        <v>308312.03000000003</v>
      </c>
      <c r="E75" s="34">
        <v>151178.51999999999</v>
      </c>
      <c r="F75" s="34">
        <f>+D75+E75</f>
        <v>459490.55000000005</v>
      </c>
      <c r="G75" s="102">
        <f>+F75*5%</f>
        <v>22974.527500000004</v>
      </c>
      <c r="H75" s="102">
        <f>+F75+G75</f>
        <v>482465.07750000007</v>
      </c>
      <c r="I75" s="112"/>
      <c r="J75" s="112"/>
    </row>
    <row r="76" spans="1:10" s="19" customFormat="1" ht="15">
      <c r="A76" s="35" t="s">
        <v>137</v>
      </c>
      <c r="B76" s="35" t="s">
        <v>138</v>
      </c>
      <c r="C76" s="95">
        <v>2000</v>
      </c>
      <c r="D76" s="96">
        <v>1877.59</v>
      </c>
      <c r="E76" s="34">
        <v>1500</v>
      </c>
      <c r="F76" s="34">
        <f>+D76+E76</f>
        <v>3377.59</v>
      </c>
      <c r="G76" s="102">
        <f>+F76*5%</f>
        <v>168.87950000000001</v>
      </c>
      <c r="H76" s="102">
        <f>+F76+G76</f>
        <v>3546.4695000000002</v>
      </c>
      <c r="I76" s="112"/>
      <c r="J76" s="112"/>
    </row>
    <row r="77" spans="1:10" s="19" customFormat="1" ht="25.5">
      <c r="A77" s="16" t="s">
        <v>139</v>
      </c>
      <c r="B77" s="16" t="s">
        <v>140</v>
      </c>
      <c r="C77" s="18">
        <f t="shared" ref="C77:H77" si="35">+C79+C80+C78</f>
        <v>10150000</v>
      </c>
      <c r="D77" s="18">
        <f t="shared" si="35"/>
        <v>2215572.7599999998</v>
      </c>
      <c r="E77" s="18">
        <f t="shared" si="35"/>
        <v>1464623</v>
      </c>
      <c r="F77" s="18">
        <f t="shared" si="35"/>
        <v>3785476.08</v>
      </c>
      <c r="G77" s="114">
        <f t="shared" si="35"/>
        <v>1133306.3770000001</v>
      </c>
      <c r="H77" s="114">
        <f t="shared" si="35"/>
        <v>4918782.4569999995</v>
      </c>
      <c r="I77" s="112"/>
      <c r="J77" s="112"/>
    </row>
    <row r="78" spans="1:10" s="19" customFormat="1" ht="15">
      <c r="A78" s="124" t="s">
        <v>608</v>
      </c>
      <c r="B78" s="126" t="s">
        <v>609</v>
      </c>
      <c r="C78" s="127">
        <v>0</v>
      </c>
      <c r="D78" s="96">
        <v>963.58</v>
      </c>
      <c r="E78" s="127">
        <v>1500</v>
      </c>
      <c r="F78" s="34">
        <f>+D78+E78</f>
        <v>2463.58</v>
      </c>
      <c r="G78" s="102">
        <f>+F78*5%</f>
        <v>123.179</v>
      </c>
      <c r="H78" s="102">
        <f>+F78+G78</f>
        <v>2586.759</v>
      </c>
      <c r="I78" s="112"/>
      <c r="J78" s="112"/>
    </row>
    <row r="79" spans="1:10" s="19" customFormat="1" ht="25.5">
      <c r="A79" s="35" t="s">
        <v>141</v>
      </c>
      <c r="B79" s="35" t="s">
        <v>142</v>
      </c>
      <c r="C79" s="95">
        <v>2150000</v>
      </c>
      <c r="D79" s="96">
        <v>1646894.44</v>
      </c>
      <c r="E79" s="34">
        <v>548964</v>
      </c>
      <c r="F79" s="34">
        <v>2301138.7599999998</v>
      </c>
      <c r="G79" s="102">
        <f t="shared" ref="G79" si="36">+F79*5%</f>
        <v>115056.93799999999</v>
      </c>
      <c r="H79" s="102">
        <f t="shared" ref="H79" si="37">+F79+G79</f>
        <v>2416195.6979999999</v>
      </c>
      <c r="I79" s="112"/>
      <c r="J79" s="112"/>
    </row>
    <row r="80" spans="1:10" s="19" customFormat="1" ht="15">
      <c r="A80" s="35" t="s">
        <v>143</v>
      </c>
      <c r="B80" s="35" t="s">
        <v>144</v>
      </c>
      <c r="C80" s="95">
        <v>8000000</v>
      </c>
      <c r="D80" s="96">
        <v>567714.74</v>
      </c>
      <c r="E80" s="34">
        <v>914159</v>
      </c>
      <c r="F80" s="34">
        <f>+D80+E80</f>
        <v>1481873.74</v>
      </c>
      <c r="G80" s="102">
        <f>+H80-F80</f>
        <v>1018126.26</v>
      </c>
      <c r="H80" s="102">
        <v>2500000</v>
      </c>
      <c r="I80" s="112"/>
      <c r="J80" s="112"/>
    </row>
    <row r="81" spans="1:10" s="19" customFormat="1" ht="15">
      <c r="A81" s="16" t="s">
        <v>145</v>
      </c>
      <c r="B81" s="17" t="s">
        <v>146</v>
      </c>
      <c r="C81" s="18">
        <f t="shared" ref="C81:H81" si="38">SUBTOTAL(9,C82:C90)</f>
        <v>550500</v>
      </c>
      <c r="D81" s="18">
        <f t="shared" si="38"/>
        <v>1546091.42</v>
      </c>
      <c r="E81" s="18">
        <f t="shared" si="38"/>
        <v>1689224</v>
      </c>
      <c r="F81" s="18">
        <f t="shared" si="38"/>
        <v>3660493.42</v>
      </c>
      <c r="G81" s="114">
        <f t="shared" si="38"/>
        <v>183024.671</v>
      </c>
      <c r="H81" s="114">
        <f t="shared" si="38"/>
        <v>3843518.091</v>
      </c>
      <c r="I81" s="112"/>
      <c r="J81" s="112"/>
    </row>
    <row r="82" spans="1:10" s="19" customFormat="1" ht="15">
      <c r="A82" s="35" t="s">
        <v>147</v>
      </c>
      <c r="B82" s="36" t="s">
        <v>148</v>
      </c>
      <c r="C82" s="95">
        <v>50000</v>
      </c>
      <c r="D82" s="96">
        <v>106484</v>
      </c>
      <c r="E82" s="34">
        <v>35494</v>
      </c>
      <c r="F82" s="34">
        <f t="shared" ref="F82:F90" si="39">+D82+E82</f>
        <v>141978</v>
      </c>
      <c r="G82" s="102">
        <f>+F82*5%</f>
        <v>7098.9000000000005</v>
      </c>
      <c r="H82" s="102">
        <f>+F82+G82</f>
        <v>149076.9</v>
      </c>
      <c r="I82" s="112"/>
      <c r="J82" s="112"/>
    </row>
    <row r="83" spans="1:10" s="19" customFormat="1" ht="15">
      <c r="A83" s="35" t="s">
        <v>149</v>
      </c>
      <c r="B83" s="36" t="s">
        <v>150</v>
      </c>
      <c r="C83" s="95">
        <v>150000</v>
      </c>
      <c r="D83" s="96">
        <v>229989</v>
      </c>
      <c r="E83" s="34">
        <v>243000</v>
      </c>
      <c r="F83" s="34">
        <f t="shared" si="39"/>
        <v>472989</v>
      </c>
      <c r="G83" s="102">
        <f t="shared" ref="G83:G90" si="40">+F83*5%</f>
        <v>23649.45</v>
      </c>
      <c r="H83" s="102">
        <f t="shared" ref="H83:H90" si="41">+F83+G83</f>
        <v>496638.45</v>
      </c>
      <c r="I83" s="112"/>
      <c r="J83" s="112"/>
    </row>
    <row r="84" spans="1:10" s="19" customFormat="1" ht="15">
      <c r="A84" s="35" t="s">
        <v>151</v>
      </c>
      <c r="B84" s="36" t="s">
        <v>152</v>
      </c>
      <c r="C84" s="95">
        <v>500</v>
      </c>
      <c r="D84" s="96">
        <v>1718.29</v>
      </c>
      <c r="E84" s="34">
        <v>1600</v>
      </c>
      <c r="F84" s="34">
        <f t="shared" si="39"/>
        <v>3318.29</v>
      </c>
      <c r="G84" s="102">
        <f t="shared" si="40"/>
        <v>165.9145</v>
      </c>
      <c r="H84" s="102">
        <f t="shared" si="41"/>
        <v>3484.2044999999998</v>
      </c>
      <c r="I84" s="112"/>
      <c r="J84" s="112"/>
    </row>
    <row r="85" spans="1:10" s="19" customFormat="1" ht="15">
      <c r="A85" s="124" t="s">
        <v>153</v>
      </c>
      <c r="B85" s="124" t="s">
        <v>154</v>
      </c>
      <c r="C85" s="95">
        <v>0</v>
      </c>
      <c r="D85" s="96">
        <v>1313.79</v>
      </c>
      <c r="E85" s="34">
        <v>800</v>
      </c>
      <c r="F85" s="34">
        <f t="shared" si="39"/>
        <v>2113.79</v>
      </c>
      <c r="G85" s="102">
        <f t="shared" si="40"/>
        <v>105.68950000000001</v>
      </c>
      <c r="H85" s="102">
        <f t="shared" si="41"/>
        <v>2219.4794999999999</v>
      </c>
      <c r="I85" s="112"/>
      <c r="J85" s="112"/>
    </row>
    <row r="86" spans="1:10" s="19" customFormat="1" ht="15">
      <c r="A86" s="124" t="s">
        <v>155</v>
      </c>
      <c r="B86" s="124" t="s">
        <v>156</v>
      </c>
      <c r="C86" s="95">
        <v>0</v>
      </c>
      <c r="D86" s="96">
        <v>235</v>
      </c>
      <c r="E86" s="34">
        <v>400</v>
      </c>
      <c r="F86" s="34">
        <f t="shared" si="39"/>
        <v>635</v>
      </c>
      <c r="G86" s="102">
        <f t="shared" si="40"/>
        <v>31.75</v>
      </c>
      <c r="H86" s="102">
        <f t="shared" si="41"/>
        <v>666.75</v>
      </c>
      <c r="I86" s="112"/>
      <c r="J86" s="112"/>
    </row>
    <row r="87" spans="1:10" s="19" customFormat="1" ht="15">
      <c r="A87" s="35" t="s">
        <v>157</v>
      </c>
      <c r="B87" s="36" t="s">
        <v>158</v>
      </c>
      <c r="C87" s="95">
        <v>100000</v>
      </c>
      <c r="D87" s="96">
        <v>946209.83</v>
      </c>
      <c r="E87" s="34">
        <v>1270935</v>
      </c>
      <c r="F87" s="34">
        <f t="shared" si="39"/>
        <v>2217144.83</v>
      </c>
      <c r="G87" s="102">
        <f t="shared" si="40"/>
        <v>110857.2415</v>
      </c>
      <c r="H87" s="102">
        <f t="shared" si="41"/>
        <v>2328002.0715000001</v>
      </c>
      <c r="I87" s="112"/>
      <c r="J87" s="112"/>
    </row>
    <row r="88" spans="1:10" s="19" customFormat="1" ht="15">
      <c r="A88" s="35" t="s">
        <v>159</v>
      </c>
      <c r="B88" s="35" t="s">
        <v>160</v>
      </c>
      <c r="C88" s="95">
        <v>50000</v>
      </c>
      <c r="D88" s="96">
        <v>87754.85</v>
      </c>
      <c r="E88" s="34">
        <v>43068</v>
      </c>
      <c r="F88" s="34">
        <v>556000.85</v>
      </c>
      <c r="G88" s="102">
        <f t="shared" si="40"/>
        <v>27800.0425</v>
      </c>
      <c r="H88" s="102">
        <f t="shared" si="41"/>
        <v>583800.89249999996</v>
      </c>
      <c r="I88" s="112"/>
      <c r="J88" s="112"/>
    </row>
    <row r="89" spans="1:10" s="19" customFormat="1" ht="15">
      <c r="A89" s="35" t="s">
        <v>161</v>
      </c>
      <c r="B89" s="36" t="s">
        <v>162</v>
      </c>
      <c r="C89" s="95">
        <v>150000</v>
      </c>
      <c r="D89" s="96">
        <v>146169.99</v>
      </c>
      <c r="E89" s="34">
        <v>66231</v>
      </c>
      <c r="F89" s="34">
        <f t="shared" si="39"/>
        <v>212400.99</v>
      </c>
      <c r="G89" s="102">
        <f t="shared" si="40"/>
        <v>10620.049500000001</v>
      </c>
      <c r="H89" s="102">
        <f t="shared" si="41"/>
        <v>223021.03949999998</v>
      </c>
      <c r="I89" s="112"/>
      <c r="J89" s="112"/>
    </row>
    <row r="90" spans="1:10" s="19" customFormat="1" ht="25.5">
      <c r="A90" s="35" t="s">
        <v>163</v>
      </c>
      <c r="B90" s="35" t="s">
        <v>164</v>
      </c>
      <c r="C90" s="95">
        <v>50000</v>
      </c>
      <c r="D90" s="96">
        <v>26216.67</v>
      </c>
      <c r="E90" s="34">
        <v>27696</v>
      </c>
      <c r="F90" s="34">
        <f t="shared" si="39"/>
        <v>53912.67</v>
      </c>
      <c r="G90" s="102">
        <f t="shared" si="40"/>
        <v>2695.6334999999999</v>
      </c>
      <c r="H90" s="102">
        <f t="shared" si="41"/>
        <v>56608.303499999995</v>
      </c>
      <c r="I90" s="112"/>
      <c r="J90" s="112"/>
    </row>
    <row r="91" spans="1:10" s="19" customFormat="1" ht="15">
      <c r="A91" s="16" t="s">
        <v>165</v>
      </c>
      <c r="B91" s="17" t="s">
        <v>166</v>
      </c>
      <c r="C91" s="18">
        <f t="shared" ref="C91:H91" si="42">+C92+C97</f>
        <v>17894453</v>
      </c>
      <c r="D91" s="18">
        <f t="shared" si="42"/>
        <v>4383254.68</v>
      </c>
      <c r="E91" s="18">
        <f t="shared" si="42"/>
        <v>3211598.79</v>
      </c>
      <c r="F91" s="18">
        <f t="shared" si="42"/>
        <v>7599853.4700000007</v>
      </c>
      <c r="G91" s="114">
        <f t="shared" si="42"/>
        <v>379992.67350000003</v>
      </c>
      <c r="H91" s="114">
        <f t="shared" si="42"/>
        <v>7979846.1435000002</v>
      </c>
      <c r="I91" s="112"/>
      <c r="J91" s="112"/>
    </row>
    <row r="92" spans="1:10" s="19" customFormat="1" ht="15">
      <c r="A92" s="16" t="s">
        <v>167</v>
      </c>
      <c r="B92" s="17" t="s">
        <v>168</v>
      </c>
      <c r="C92" s="18">
        <f t="shared" ref="C92:H92" si="43">SUBTOTAL(9,C93:C96)</f>
        <v>15887153</v>
      </c>
      <c r="D92" s="18">
        <f t="shared" si="43"/>
        <v>2249610.6799999997</v>
      </c>
      <c r="E92" s="18">
        <f t="shared" si="43"/>
        <v>2545617</v>
      </c>
      <c r="F92" s="18">
        <f t="shared" si="43"/>
        <v>4795227.6800000006</v>
      </c>
      <c r="G92" s="114">
        <f t="shared" si="43"/>
        <v>239761.38400000002</v>
      </c>
      <c r="H92" s="114">
        <f t="shared" si="43"/>
        <v>5034989.0640000002</v>
      </c>
      <c r="I92" s="112"/>
      <c r="J92" s="112"/>
    </row>
    <row r="93" spans="1:10" s="19" customFormat="1" ht="15">
      <c r="A93" s="35" t="s">
        <v>169</v>
      </c>
      <c r="B93" s="76" t="s">
        <v>170</v>
      </c>
      <c r="C93" s="95">
        <v>4500000</v>
      </c>
      <c r="D93" s="96">
        <v>760948.5</v>
      </c>
      <c r="E93" s="97">
        <f>536949+551250</f>
        <v>1088199</v>
      </c>
      <c r="F93" s="34">
        <f>+D93+E93</f>
        <v>1849147.5</v>
      </c>
      <c r="G93" s="102">
        <f>+F93*5%</f>
        <v>92457.375</v>
      </c>
      <c r="H93" s="102">
        <f>+F93+G93</f>
        <v>1941604.875</v>
      </c>
      <c r="I93" s="112"/>
      <c r="J93" s="112"/>
    </row>
    <row r="94" spans="1:10" s="19" customFormat="1" ht="15">
      <c r="A94" s="35" t="s">
        <v>171</v>
      </c>
      <c r="B94" s="84" t="s">
        <v>172</v>
      </c>
      <c r="C94" s="95">
        <v>11326653</v>
      </c>
      <c r="D94" s="96">
        <v>1372942</v>
      </c>
      <c r="E94" s="128">
        <v>1315653</v>
      </c>
      <c r="F94" s="34">
        <f>+D94+E94</f>
        <v>2688595</v>
      </c>
      <c r="G94" s="102">
        <f t="shared" ref="G94:G96" si="44">+F94*5%</f>
        <v>134429.75</v>
      </c>
      <c r="H94" s="102">
        <f t="shared" ref="H94:H96" si="45">+F94+G94</f>
        <v>2823024.75</v>
      </c>
      <c r="I94" s="112"/>
      <c r="J94" s="112"/>
    </row>
    <row r="95" spans="1:10" s="19" customFormat="1" ht="15">
      <c r="A95" s="35" t="s">
        <v>173</v>
      </c>
      <c r="B95" s="76" t="s">
        <v>174</v>
      </c>
      <c r="C95" s="95">
        <v>50000</v>
      </c>
      <c r="D95" s="96">
        <v>115544.32000000001</v>
      </c>
      <c r="E95" s="129">
        <v>140865</v>
      </c>
      <c r="F95" s="34">
        <f>+D95+E95</f>
        <v>256409.32</v>
      </c>
      <c r="G95" s="102">
        <f t="shared" si="44"/>
        <v>12820.466</v>
      </c>
      <c r="H95" s="102">
        <f t="shared" si="45"/>
        <v>269229.78600000002</v>
      </c>
      <c r="I95" s="112"/>
      <c r="J95" s="112"/>
    </row>
    <row r="96" spans="1:10" s="19" customFormat="1" ht="15">
      <c r="A96" s="35" t="s">
        <v>175</v>
      </c>
      <c r="B96" s="35" t="s">
        <v>176</v>
      </c>
      <c r="C96" s="95">
        <v>10500</v>
      </c>
      <c r="D96" s="96">
        <v>175.86</v>
      </c>
      <c r="E96" s="34">
        <v>900</v>
      </c>
      <c r="F96" s="34">
        <f>+D96+E96</f>
        <v>1075.8600000000001</v>
      </c>
      <c r="G96" s="102">
        <f t="shared" si="44"/>
        <v>53.793000000000006</v>
      </c>
      <c r="H96" s="102">
        <f t="shared" si="45"/>
        <v>1129.6530000000002</v>
      </c>
      <c r="I96" s="112"/>
      <c r="J96" s="112"/>
    </row>
    <row r="97" spans="1:10" s="19" customFormat="1" ht="25.5">
      <c r="A97" s="16" t="s">
        <v>177</v>
      </c>
      <c r="B97" s="16" t="s">
        <v>178</v>
      </c>
      <c r="C97" s="18">
        <f t="shared" ref="C97:H97" si="46">SUBTOTAL(9,C98:C100)</f>
        <v>2007300</v>
      </c>
      <c r="D97" s="18">
        <f t="shared" si="46"/>
        <v>2133644</v>
      </c>
      <c r="E97" s="18">
        <f t="shared" si="46"/>
        <v>665981.79</v>
      </c>
      <c r="F97" s="18">
        <f t="shared" si="46"/>
        <v>2804625.79</v>
      </c>
      <c r="G97" s="114">
        <f t="shared" si="46"/>
        <v>140231.28950000001</v>
      </c>
      <c r="H97" s="114">
        <f t="shared" si="46"/>
        <v>2944857.0795</v>
      </c>
      <c r="I97" s="112"/>
      <c r="J97" s="112"/>
    </row>
    <row r="98" spans="1:10" s="19" customFormat="1" ht="15">
      <c r="A98" s="35" t="s">
        <v>179</v>
      </c>
      <c r="B98" s="36" t="s">
        <v>180</v>
      </c>
      <c r="C98" s="95">
        <v>5000</v>
      </c>
      <c r="D98" s="96">
        <v>210935.39</v>
      </c>
      <c r="E98" s="34">
        <v>90000</v>
      </c>
      <c r="F98" s="34">
        <v>305935.39</v>
      </c>
      <c r="G98" s="102">
        <f>+F98*5%</f>
        <v>15296.769500000002</v>
      </c>
      <c r="H98" s="102">
        <f>+F98+G98</f>
        <v>321232.15950000001</v>
      </c>
      <c r="I98" s="112"/>
      <c r="J98" s="112"/>
    </row>
    <row r="99" spans="1:10" s="19" customFormat="1" ht="15">
      <c r="A99" s="35" t="s">
        <v>181</v>
      </c>
      <c r="B99" s="35" t="s">
        <v>182</v>
      </c>
      <c r="C99" s="95">
        <v>2000000</v>
      </c>
      <c r="D99" s="96">
        <v>1920778.34</v>
      </c>
      <c r="E99" s="34">
        <v>574781.79</v>
      </c>
      <c r="F99" s="34">
        <f>+D99+E99</f>
        <v>2495560.13</v>
      </c>
      <c r="G99" s="102">
        <f t="shared" ref="G99:G100" si="47">+F99*5%</f>
        <v>124778.0065</v>
      </c>
      <c r="H99" s="102">
        <f t="shared" ref="H99:H100" si="48">+F99+G99</f>
        <v>2620338.1365</v>
      </c>
      <c r="I99" s="112"/>
      <c r="J99" s="112"/>
    </row>
    <row r="100" spans="1:10" s="19" customFormat="1" ht="15">
      <c r="A100" s="35" t="s">
        <v>183</v>
      </c>
      <c r="B100" s="36" t="s">
        <v>184</v>
      </c>
      <c r="C100" s="95">
        <v>2300</v>
      </c>
      <c r="D100" s="96">
        <v>1930.27</v>
      </c>
      <c r="E100" s="34">
        <v>1200</v>
      </c>
      <c r="F100" s="34">
        <f>+D100+E100</f>
        <v>3130.27</v>
      </c>
      <c r="G100" s="102">
        <f t="shared" si="47"/>
        <v>156.51350000000002</v>
      </c>
      <c r="H100" s="102">
        <f t="shared" si="48"/>
        <v>3286.7835</v>
      </c>
      <c r="I100" s="112"/>
      <c r="J100" s="112"/>
    </row>
    <row r="101" spans="1:10" s="19" customFormat="1" ht="15">
      <c r="A101" s="16" t="s">
        <v>185</v>
      </c>
      <c r="B101" s="17" t="s">
        <v>186</v>
      </c>
      <c r="C101" s="18">
        <f t="shared" ref="C101:H101" si="49">+C102</f>
        <v>18130000</v>
      </c>
      <c r="D101" s="18">
        <f t="shared" si="49"/>
        <v>10672896.520000001</v>
      </c>
      <c r="E101" s="18">
        <f t="shared" si="49"/>
        <v>4485699</v>
      </c>
      <c r="F101" s="18">
        <f t="shared" si="49"/>
        <v>15158595.520000001</v>
      </c>
      <c r="G101" s="114">
        <f t="shared" si="49"/>
        <v>225908.54774999933</v>
      </c>
      <c r="H101" s="114">
        <f t="shared" si="49"/>
        <v>15384504.067749999</v>
      </c>
      <c r="I101" s="112"/>
      <c r="J101" s="112"/>
    </row>
    <row r="102" spans="1:10" s="19" customFormat="1" ht="15">
      <c r="A102" s="16" t="s">
        <v>187</v>
      </c>
      <c r="B102" s="17" t="s">
        <v>188</v>
      </c>
      <c r="C102" s="18">
        <f t="shared" ref="C102:H102" si="50">SUBTOTAL(9,C103:C105)</f>
        <v>18130000</v>
      </c>
      <c r="D102" s="18">
        <f t="shared" si="50"/>
        <v>10672896.520000001</v>
      </c>
      <c r="E102" s="18">
        <f t="shared" si="50"/>
        <v>4485699</v>
      </c>
      <c r="F102" s="18">
        <f t="shared" si="50"/>
        <v>15158595.520000001</v>
      </c>
      <c r="G102" s="114">
        <f t="shared" si="50"/>
        <v>225908.54774999933</v>
      </c>
      <c r="H102" s="114">
        <f t="shared" si="50"/>
        <v>15384504.067749999</v>
      </c>
      <c r="I102" s="112"/>
      <c r="J102" s="112"/>
    </row>
    <row r="103" spans="1:10" s="19" customFormat="1" ht="15">
      <c r="A103" s="35" t="s">
        <v>189</v>
      </c>
      <c r="B103" s="36" t="s">
        <v>190</v>
      </c>
      <c r="C103" s="95">
        <v>15000000</v>
      </c>
      <c r="D103" s="96">
        <v>10072491.970000001</v>
      </c>
      <c r="E103" s="34">
        <v>4206000</v>
      </c>
      <c r="F103" s="34">
        <f>+D103+E103</f>
        <v>14278491.970000001</v>
      </c>
      <c r="G103" s="102">
        <f>+H103-F103</f>
        <v>221508.02999999933</v>
      </c>
      <c r="H103" s="102">
        <v>14500000</v>
      </c>
      <c r="I103" s="112"/>
      <c r="J103" s="112"/>
    </row>
    <row r="104" spans="1:10" s="19" customFormat="1" ht="15">
      <c r="A104" s="35" t="s">
        <v>191</v>
      </c>
      <c r="B104" s="36" t="s">
        <v>192</v>
      </c>
      <c r="C104" s="95">
        <v>3000000</v>
      </c>
      <c r="D104" s="96">
        <v>436462.72</v>
      </c>
      <c r="E104" s="34">
        <v>170919</v>
      </c>
      <c r="F104" s="34">
        <f>+D104+E104</f>
        <v>607381.72</v>
      </c>
      <c r="G104" s="102">
        <f t="shared" ref="G104:G105" si="51">+F104*0.5%</f>
        <v>3036.9085999999998</v>
      </c>
      <c r="H104" s="102">
        <f t="shared" ref="H104:H105" si="52">+F104+G104</f>
        <v>610418.62859999994</v>
      </c>
      <c r="I104" s="112"/>
      <c r="J104" s="112"/>
    </row>
    <row r="105" spans="1:10" s="19" customFormat="1" ht="15">
      <c r="A105" s="35" t="s">
        <v>193</v>
      </c>
      <c r="B105" s="36" t="s">
        <v>194</v>
      </c>
      <c r="C105" s="95">
        <v>130000</v>
      </c>
      <c r="D105" s="96">
        <v>163941.82999999999</v>
      </c>
      <c r="E105" s="34">
        <v>108780</v>
      </c>
      <c r="F105" s="34">
        <f>+D105+E105</f>
        <v>272721.82999999996</v>
      </c>
      <c r="G105" s="102">
        <f t="shared" si="51"/>
        <v>1363.6091499999998</v>
      </c>
      <c r="H105" s="102">
        <f t="shared" si="52"/>
        <v>274085.43914999993</v>
      </c>
      <c r="I105" s="112"/>
      <c r="J105" s="112"/>
    </row>
    <row r="106" spans="1:10" s="19" customFormat="1" ht="25.5">
      <c r="A106" s="16" t="s">
        <v>195</v>
      </c>
      <c r="B106" s="16" t="s">
        <v>196</v>
      </c>
      <c r="C106" s="18">
        <f t="shared" ref="C106:H106" si="53">SUBTOTAL(9,C107:C110)</f>
        <v>363000</v>
      </c>
      <c r="D106" s="18">
        <f t="shared" si="53"/>
        <v>221366.95</v>
      </c>
      <c r="E106" s="18">
        <f t="shared" si="53"/>
        <v>95080</v>
      </c>
      <c r="F106" s="18">
        <f t="shared" si="53"/>
        <v>353826.95</v>
      </c>
      <c r="G106" s="114">
        <f t="shared" si="53"/>
        <v>17691.347500000003</v>
      </c>
      <c r="H106" s="114">
        <f t="shared" si="53"/>
        <v>371518.29749999999</v>
      </c>
      <c r="I106" s="112"/>
      <c r="J106" s="112"/>
    </row>
    <row r="107" spans="1:10" s="19" customFormat="1" ht="15">
      <c r="A107" s="35" t="s">
        <v>197</v>
      </c>
      <c r="B107" s="36" t="s">
        <v>198</v>
      </c>
      <c r="C107" s="95">
        <v>112000</v>
      </c>
      <c r="D107" s="96">
        <v>1950</v>
      </c>
      <c r="E107" s="34">
        <v>1500</v>
      </c>
      <c r="F107" s="34">
        <v>40830</v>
      </c>
      <c r="G107" s="102">
        <f>+F107*5%</f>
        <v>2041.5</v>
      </c>
      <c r="H107" s="102">
        <f>+F107+G107</f>
        <v>42871.5</v>
      </c>
      <c r="I107" s="112"/>
      <c r="J107" s="112"/>
    </row>
    <row r="108" spans="1:10" s="19" customFormat="1" ht="15">
      <c r="A108" s="35" t="s">
        <v>199</v>
      </c>
      <c r="B108" s="35" t="s">
        <v>200</v>
      </c>
      <c r="C108" s="95">
        <v>250000</v>
      </c>
      <c r="D108" s="96">
        <v>209077.45</v>
      </c>
      <c r="E108" s="34">
        <v>91080</v>
      </c>
      <c r="F108" s="34">
        <f>+D108+E108</f>
        <v>300157.45</v>
      </c>
      <c r="G108" s="102">
        <f t="shared" ref="G108:G110" si="54">+F108*5%</f>
        <v>15007.872500000001</v>
      </c>
      <c r="H108" s="102">
        <f t="shared" ref="H108:H110" si="55">+F108+G108</f>
        <v>315165.32250000001</v>
      </c>
      <c r="I108" s="112"/>
      <c r="J108" s="112"/>
    </row>
    <row r="109" spans="1:10" s="19" customFormat="1" ht="15">
      <c r="A109" s="35" t="s">
        <v>201</v>
      </c>
      <c r="B109" s="36" t="s">
        <v>202</v>
      </c>
      <c r="C109" s="95">
        <v>0</v>
      </c>
      <c r="D109" s="96">
        <v>10156.14</v>
      </c>
      <c r="E109" s="34">
        <v>2000</v>
      </c>
      <c r="F109" s="34">
        <f>+D109+E109</f>
        <v>12156.14</v>
      </c>
      <c r="G109" s="102">
        <f t="shared" si="54"/>
        <v>607.80700000000002</v>
      </c>
      <c r="H109" s="102">
        <f t="shared" si="55"/>
        <v>12763.947</v>
      </c>
      <c r="I109" s="112"/>
      <c r="J109" s="112"/>
    </row>
    <row r="110" spans="1:10" s="19" customFormat="1" ht="15">
      <c r="A110" s="35" t="s">
        <v>203</v>
      </c>
      <c r="B110" s="36" t="s">
        <v>204</v>
      </c>
      <c r="C110" s="95">
        <v>1000</v>
      </c>
      <c r="D110" s="96">
        <v>183.36</v>
      </c>
      <c r="E110" s="34">
        <v>500</v>
      </c>
      <c r="F110" s="34">
        <f>+D110+E110</f>
        <v>683.36</v>
      </c>
      <c r="G110" s="102">
        <f t="shared" si="54"/>
        <v>34.167999999999999</v>
      </c>
      <c r="H110" s="102">
        <f t="shared" si="55"/>
        <v>717.52800000000002</v>
      </c>
      <c r="I110" s="112"/>
      <c r="J110" s="112"/>
    </row>
    <row r="111" spans="1:10" s="19" customFormat="1" ht="15">
      <c r="A111" s="16" t="s">
        <v>205</v>
      </c>
      <c r="B111" s="17" t="s">
        <v>206</v>
      </c>
      <c r="C111" s="18">
        <f t="shared" ref="C111:H111" si="56">+C112+C113+C114+C115+C117+C118++C116+C119</f>
        <v>2875000</v>
      </c>
      <c r="D111" s="18">
        <f t="shared" si="56"/>
        <v>1132507.4599999997</v>
      </c>
      <c r="E111" s="18">
        <f t="shared" si="56"/>
        <v>497953.65</v>
      </c>
      <c r="F111" s="18">
        <f t="shared" si="56"/>
        <v>1737641.7600000002</v>
      </c>
      <c r="G111" s="114">
        <f t="shared" si="56"/>
        <v>86882.088000000003</v>
      </c>
      <c r="H111" s="114">
        <f t="shared" si="56"/>
        <v>1824523.8479999998</v>
      </c>
      <c r="I111" s="112"/>
      <c r="J111" s="112"/>
    </row>
    <row r="112" spans="1:10" s="19" customFormat="1" ht="15">
      <c r="A112" s="35" t="s">
        <v>207</v>
      </c>
      <c r="B112" s="36" t="s">
        <v>208</v>
      </c>
      <c r="C112" s="95">
        <v>2000000</v>
      </c>
      <c r="D112" s="96">
        <v>382232.09</v>
      </c>
      <c r="E112" s="34">
        <v>133273</v>
      </c>
      <c r="F112" s="34">
        <v>572569.81999999995</v>
      </c>
      <c r="G112" s="102">
        <f>+F112*5%</f>
        <v>28628.490999999998</v>
      </c>
      <c r="H112" s="102">
        <f>+F112+G112</f>
        <v>601198.31099999999</v>
      </c>
      <c r="I112" s="112"/>
      <c r="J112" s="112"/>
    </row>
    <row r="113" spans="1:10" s="19" customFormat="1" ht="15">
      <c r="A113" s="35" t="s">
        <v>209</v>
      </c>
      <c r="B113" s="35" t="s">
        <v>210</v>
      </c>
      <c r="C113" s="95">
        <v>10000</v>
      </c>
      <c r="D113" s="96">
        <v>15022.41</v>
      </c>
      <c r="E113" s="34">
        <v>5007</v>
      </c>
      <c r="F113" s="34">
        <f t="shared" ref="F113:F118" si="57">+D113+E113</f>
        <v>20029.41</v>
      </c>
      <c r="G113" s="102">
        <f t="shared" ref="G113:G118" si="58">+F113*5%</f>
        <v>1001.4705</v>
      </c>
      <c r="H113" s="102">
        <f t="shared" ref="H113:H118" si="59">+F113+G113</f>
        <v>21030.880499999999</v>
      </c>
      <c r="I113" s="112"/>
      <c r="J113" s="112"/>
    </row>
    <row r="114" spans="1:10" s="19" customFormat="1" ht="25.5">
      <c r="A114" s="35" t="s">
        <v>211</v>
      </c>
      <c r="B114" s="35" t="s">
        <v>212</v>
      </c>
      <c r="C114" s="95">
        <v>250000</v>
      </c>
      <c r="D114" s="96">
        <v>292000.36</v>
      </c>
      <c r="E114" s="34">
        <v>97933</v>
      </c>
      <c r="F114" s="34">
        <v>440049.28</v>
      </c>
      <c r="G114" s="102">
        <f t="shared" si="58"/>
        <v>22002.464000000004</v>
      </c>
      <c r="H114" s="102">
        <f t="shared" si="59"/>
        <v>462051.74400000001</v>
      </c>
      <c r="I114" s="112"/>
      <c r="J114" s="112"/>
    </row>
    <row r="115" spans="1:10" s="19" customFormat="1" ht="25.5">
      <c r="A115" s="35" t="s">
        <v>213</v>
      </c>
      <c r="B115" s="35" t="s">
        <v>214</v>
      </c>
      <c r="C115" s="95">
        <v>100000</v>
      </c>
      <c r="D115" s="96">
        <v>47018.07</v>
      </c>
      <c r="E115" s="34">
        <v>15672</v>
      </c>
      <c r="F115" s="34">
        <f t="shared" si="57"/>
        <v>62690.07</v>
      </c>
      <c r="G115" s="102">
        <f t="shared" si="58"/>
        <v>3134.5035000000003</v>
      </c>
      <c r="H115" s="102">
        <f t="shared" si="59"/>
        <v>65824.573499999999</v>
      </c>
      <c r="I115" s="112"/>
      <c r="J115" s="112"/>
    </row>
    <row r="116" spans="1:10" s="19" customFormat="1" ht="15">
      <c r="A116" s="124" t="s">
        <v>610</v>
      </c>
      <c r="B116" s="124" t="s">
        <v>611</v>
      </c>
      <c r="C116" s="95">
        <v>0</v>
      </c>
      <c r="D116" s="128">
        <v>14439.65</v>
      </c>
      <c r="E116" s="34">
        <v>4813</v>
      </c>
      <c r="F116" s="34">
        <f t="shared" si="57"/>
        <v>19252.650000000001</v>
      </c>
      <c r="G116" s="102">
        <f t="shared" si="58"/>
        <v>962.63250000000016</v>
      </c>
      <c r="H116" s="102">
        <f t="shared" si="59"/>
        <v>20215.282500000001</v>
      </c>
      <c r="I116" s="112"/>
      <c r="J116" s="112"/>
    </row>
    <row r="117" spans="1:10" s="19" customFormat="1" ht="25.5">
      <c r="A117" s="35" t="s">
        <v>215</v>
      </c>
      <c r="B117" s="35" t="s">
        <v>216</v>
      </c>
      <c r="C117" s="95">
        <v>400000</v>
      </c>
      <c r="D117" s="96">
        <v>297043.55</v>
      </c>
      <c r="E117" s="34">
        <v>213006</v>
      </c>
      <c r="F117" s="34">
        <f t="shared" si="57"/>
        <v>510049.55</v>
      </c>
      <c r="G117" s="102">
        <f t="shared" si="58"/>
        <v>25502.477500000001</v>
      </c>
      <c r="H117" s="102">
        <f t="shared" si="59"/>
        <v>535552.02749999997</v>
      </c>
      <c r="I117" s="112"/>
      <c r="J117" s="112"/>
    </row>
    <row r="118" spans="1:10" s="19" customFormat="1" ht="25.5">
      <c r="A118" s="35" t="s">
        <v>217</v>
      </c>
      <c r="B118" s="35" t="s">
        <v>218</v>
      </c>
      <c r="C118" s="95">
        <v>100000</v>
      </c>
      <c r="D118" s="96">
        <v>29988.38</v>
      </c>
      <c r="E118" s="34">
        <v>9996</v>
      </c>
      <c r="F118" s="34">
        <f t="shared" si="57"/>
        <v>39984.380000000005</v>
      </c>
      <c r="G118" s="102">
        <f t="shared" si="58"/>
        <v>1999.2190000000003</v>
      </c>
      <c r="H118" s="102">
        <f t="shared" si="59"/>
        <v>41983.599000000002</v>
      </c>
      <c r="I118" s="112"/>
      <c r="J118" s="112"/>
    </row>
    <row r="119" spans="1:10" s="19" customFormat="1" ht="25.5">
      <c r="A119" s="16" t="s">
        <v>219</v>
      </c>
      <c r="B119" s="16" t="s">
        <v>220</v>
      </c>
      <c r="C119" s="18">
        <f t="shared" ref="C119:H119" si="60">+C120+C121</f>
        <v>15000</v>
      </c>
      <c r="D119" s="18">
        <f t="shared" si="60"/>
        <v>54762.95</v>
      </c>
      <c r="E119" s="18">
        <f t="shared" si="60"/>
        <v>18253.650000000001</v>
      </c>
      <c r="F119" s="18">
        <f t="shared" si="60"/>
        <v>73016.600000000006</v>
      </c>
      <c r="G119" s="114">
        <f t="shared" si="60"/>
        <v>3650.83</v>
      </c>
      <c r="H119" s="114">
        <f t="shared" si="60"/>
        <v>76667.429999999993</v>
      </c>
      <c r="I119" s="112"/>
      <c r="J119" s="112"/>
    </row>
    <row r="120" spans="1:10" s="19" customFormat="1" ht="15">
      <c r="A120" s="35" t="s">
        <v>221</v>
      </c>
      <c r="B120" s="36" t="s">
        <v>222</v>
      </c>
      <c r="C120" s="130">
        <v>0</v>
      </c>
      <c r="D120" s="96">
        <v>42410</v>
      </c>
      <c r="E120" s="128">
        <v>14136</v>
      </c>
      <c r="F120" s="34">
        <f>+D120+E120</f>
        <v>56546</v>
      </c>
      <c r="G120" s="102">
        <f>+F120*5%</f>
        <v>2827.3</v>
      </c>
      <c r="H120" s="102">
        <f>+F120+G120</f>
        <v>59373.3</v>
      </c>
      <c r="I120" s="112"/>
      <c r="J120" s="112"/>
    </row>
    <row r="121" spans="1:10" s="19" customFormat="1" ht="25.5">
      <c r="A121" s="35" t="s">
        <v>223</v>
      </c>
      <c r="B121" s="35" t="s">
        <v>220</v>
      </c>
      <c r="C121" s="95">
        <v>15000</v>
      </c>
      <c r="D121" s="96">
        <v>12352.95</v>
      </c>
      <c r="E121" s="34">
        <v>4117.6499999999996</v>
      </c>
      <c r="F121" s="34">
        <f>+D121+E121</f>
        <v>16470.599999999999</v>
      </c>
      <c r="G121" s="102">
        <f>+F121*5%</f>
        <v>823.53</v>
      </c>
      <c r="H121" s="102">
        <f>+F121+G121</f>
        <v>17294.129999999997</v>
      </c>
      <c r="I121" s="112"/>
      <c r="J121" s="112"/>
    </row>
    <row r="122" spans="1:10" s="19" customFormat="1" ht="25.5">
      <c r="A122" s="131" t="s">
        <v>224</v>
      </c>
      <c r="B122" s="132"/>
      <c r="G122" s="102"/>
      <c r="H122" s="102"/>
      <c r="I122" s="112"/>
      <c r="J122" s="112"/>
    </row>
    <row r="123" spans="1:10" s="113" customFormat="1" ht="31.5">
      <c r="A123" s="108" t="s">
        <v>225</v>
      </c>
      <c r="B123" s="109" t="s">
        <v>226</v>
      </c>
      <c r="C123" s="110">
        <f t="shared" ref="C123:H123" si="61">+C125+C137+C145+C170+C188+C211+C227+C234+C241</f>
        <v>780411750</v>
      </c>
      <c r="D123" s="110">
        <f t="shared" si="61"/>
        <v>436740997.23000002</v>
      </c>
      <c r="E123" s="110">
        <f t="shared" si="61"/>
        <v>185873968.995</v>
      </c>
      <c r="F123" s="110">
        <f t="shared" si="61"/>
        <v>624678378.68499994</v>
      </c>
      <c r="G123" s="111">
        <f t="shared" si="61"/>
        <v>123205513.60750002</v>
      </c>
      <c r="H123" s="111">
        <f t="shared" si="61"/>
        <v>747883892.2924999</v>
      </c>
      <c r="I123" s="112"/>
      <c r="J123" s="112"/>
    </row>
    <row r="124" spans="1:10" s="19" customFormat="1" ht="15">
      <c r="B124" s="36"/>
      <c r="E124" s="34"/>
      <c r="F124" s="36"/>
      <c r="G124" s="133"/>
      <c r="H124" s="102"/>
      <c r="I124" s="112"/>
      <c r="J124" s="112"/>
    </row>
    <row r="125" spans="1:10" s="25" customFormat="1" ht="15">
      <c r="A125" s="16" t="s">
        <v>227</v>
      </c>
      <c r="B125" s="17" t="s">
        <v>228</v>
      </c>
      <c r="C125" s="18">
        <f t="shared" ref="C125:H125" si="62">+C126+C128+C130+C133+C135</f>
        <v>304629850</v>
      </c>
      <c r="D125" s="18">
        <f t="shared" si="62"/>
        <v>175724452.91999999</v>
      </c>
      <c r="E125" s="18">
        <f t="shared" si="62"/>
        <v>60913868</v>
      </c>
      <c r="F125" s="18">
        <f t="shared" si="62"/>
        <v>236638320.91999999</v>
      </c>
      <c r="G125" s="114">
        <f t="shared" si="62"/>
        <v>23843023.255000014</v>
      </c>
      <c r="H125" s="114">
        <f t="shared" si="62"/>
        <v>260481344.17500001</v>
      </c>
      <c r="I125" s="112"/>
      <c r="J125" s="112"/>
    </row>
    <row r="126" spans="1:10" s="25" customFormat="1" ht="15">
      <c r="A126" s="16" t="s">
        <v>229</v>
      </c>
      <c r="B126" s="17" t="s">
        <v>230</v>
      </c>
      <c r="C126" s="18">
        <f t="shared" ref="C126:H126" si="63">+C127</f>
        <v>303865000</v>
      </c>
      <c r="D126" s="18">
        <f t="shared" si="63"/>
        <v>175126177.41999999</v>
      </c>
      <c r="E126" s="18">
        <f t="shared" si="63"/>
        <v>60660450</v>
      </c>
      <c r="F126" s="18">
        <f t="shared" si="63"/>
        <v>235786627.41999999</v>
      </c>
      <c r="G126" s="114">
        <f t="shared" si="63"/>
        <v>23800438.580000013</v>
      </c>
      <c r="H126" s="114">
        <f t="shared" si="63"/>
        <v>259587066</v>
      </c>
      <c r="I126" s="112"/>
      <c r="J126" s="112"/>
    </row>
    <row r="127" spans="1:10" s="19" customFormat="1" ht="15">
      <c r="A127" s="35" t="s">
        <v>231</v>
      </c>
      <c r="B127" s="125" t="s">
        <v>232</v>
      </c>
      <c r="C127" s="95">
        <v>303865000</v>
      </c>
      <c r="D127" s="96">
        <v>175126177.41999999</v>
      </c>
      <c r="E127" s="129">
        <v>60660450</v>
      </c>
      <c r="F127" s="34">
        <f>+D127+E127</f>
        <v>235786627.41999999</v>
      </c>
      <c r="G127" s="102">
        <f>+H127-F127</f>
        <v>23800438.580000013</v>
      </c>
      <c r="H127" s="117">
        <v>259587066</v>
      </c>
      <c r="I127" s="112"/>
      <c r="J127" s="112"/>
    </row>
    <row r="128" spans="1:10" s="25" customFormat="1" ht="15">
      <c r="A128" s="16" t="s">
        <v>233</v>
      </c>
      <c r="B128" s="17" t="s">
        <v>234</v>
      </c>
      <c r="C128" s="18">
        <f t="shared" ref="C128:H128" si="64">+C129</f>
        <v>13650</v>
      </c>
      <c r="D128" s="18">
        <f t="shared" si="64"/>
        <v>102290.65</v>
      </c>
      <c r="E128" s="18">
        <f t="shared" si="64"/>
        <v>35000</v>
      </c>
      <c r="F128" s="18">
        <f t="shared" si="64"/>
        <v>137290.65</v>
      </c>
      <c r="G128" s="114">
        <f t="shared" si="64"/>
        <v>6864.5325000000003</v>
      </c>
      <c r="H128" s="114">
        <f t="shared" si="64"/>
        <v>144155.1825</v>
      </c>
      <c r="I128" s="112"/>
      <c r="J128" s="112"/>
    </row>
    <row r="129" spans="1:10" s="19" customFormat="1" ht="15">
      <c r="A129" s="35" t="s">
        <v>235</v>
      </c>
      <c r="B129" s="36" t="s">
        <v>236</v>
      </c>
      <c r="C129" s="95">
        <v>13650</v>
      </c>
      <c r="D129" s="96">
        <v>102290.65</v>
      </c>
      <c r="E129" s="34">
        <v>35000</v>
      </c>
      <c r="F129" s="34">
        <f>+D129+E129</f>
        <v>137290.65</v>
      </c>
      <c r="G129" s="102">
        <f>+F129*5%</f>
        <v>6864.5325000000003</v>
      </c>
      <c r="H129" s="102">
        <f>+F129+G129</f>
        <v>144155.1825</v>
      </c>
      <c r="I129" s="112"/>
      <c r="J129" s="112"/>
    </row>
    <row r="130" spans="1:10" s="25" customFormat="1" ht="15">
      <c r="A130" s="16" t="s">
        <v>237</v>
      </c>
      <c r="B130" s="17" t="s">
        <v>238</v>
      </c>
      <c r="C130" s="18">
        <f t="shared" ref="C130:H130" si="65">+C131+C132</f>
        <v>417000</v>
      </c>
      <c r="D130" s="18">
        <f t="shared" si="65"/>
        <v>240146.84</v>
      </c>
      <c r="E130" s="18">
        <f t="shared" si="65"/>
        <v>81984</v>
      </c>
      <c r="F130" s="18">
        <f t="shared" si="65"/>
        <v>322130.83999999997</v>
      </c>
      <c r="G130" s="114">
        <f t="shared" si="65"/>
        <v>16106.542000000001</v>
      </c>
      <c r="H130" s="114">
        <f t="shared" si="65"/>
        <v>338237.38199999998</v>
      </c>
      <c r="I130" s="112"/>
      <c r="J130" s="112"/>
    </row>
    <row r="131" spans="1:10" s="19" customFormat="1" ht="15">
      <c r="A131" s="35" t="s">
        <v>239</v>
      </c>
      <c r="B131" s="36" t="s">
        <v>240</v>
      </c>
      <c r="C131" s="95">
        <v>326000</v>
      </c>
      <c r="D131" s="96">
        <v>205654.25</v>
      </c>
      <c r="E131" s="34">
        <v>70284</v>
      </c>
      <c r="F131" s="34">
        <f>+D131+E131</f>
        <v>275938.25</v>
      </c>
      <c r="G131" s="102">
        <f>+F131*5%</f>
        <v>13796.9125</v>
      </c>
      <c r="H131" s="102">
        <f>+F131+G131</f>
        <v>289735.16249999998</v>
      </c>
      <c r="I131" s="112"/>
      <c r="J131" s="112"/>
    </row>
    <row r="132" spans="1:10" s="19" customFormat="1" ht="15">
      <c r="A132" s="35" t="s">
        <v>241</v>
      </c>
      <c r="B132" s="36" t="s">
        <v>242</v>
      </c>
      <c r="C132" s="95">
        <v>91000</v>
      </c>
      <c r="D132" s="96">
        <v>34492.589999999997</v>
      </c>
      <c r="E132" s="34">
        <v>11700</v>
      </c>
      <c r="F132" s="34">
        <f>+D132+E132</f>
        <v>46192.59</v>
      </c>
      <c r="G132" s="102">
        <f>+F132*5%</f>
        <v>2309.6295</v>
      </c>
      <c r="H132" s="102">
        <f>+F132+G132</f>
        <v>48502.219499999999</v>
      </c>
      <c r="I132" s="112"/>
      <c r="J132" s="112"/>
    </row>
    <row r="133" spans="1:10" s="25" customFormat="1" ht="25.5">
      <c r="A133" s="16" t="s">
        <v>243</v>
      </c>
      <c r="B133" s="16" t="s">
        <v>244</v>
      </c>
      <c r="C133" s="18">
        <f t="shared" ref="C133:H133" si="66">+C134</f>
        <v>333000</v>
      </c>
      <c r="D133" s="18">
        <f t="shared" si="66"/>
        <v>255758.7</v>
      </c>
      <c r="E133" s="18">
        <f t="shared" si="66"/>
        <v>135834</v>
      </c>
      <c r="F133" s="18">
        <f t="shared" si="66"/>
        <v>391592.7</v>
      </c>
      <c r="G133" s="114">
        <f t="shared" si="66"/>
        <v>19579.635000000002</v>
      </c>
      <c r="H133" s="114">
        <f t="shared" si="66"/>
        <v>411172.33500000002</v>
      </c>
      <c r="I133" s="112"/>
      <c r="J133" s="112"/>
    </row>
    <row r="134" spans="1:10" s="19" customFormat="1" ht="25.5">
      <c r="A134" s="35" t="s">
        <v>245</v>
      </c>
      <c r="B134" s="35" t="s">
        <v>246</v>
      </c>
      <c r="C134" s="95">
        <v>333000</v>
      </c>
      <c r="D134" s="96">
        <v>255758.7</v>
      </c>
      <c r="E134" s="34">
        <v>135834</v>
      </c>
      <c r="F134" s="34">
        <f>+D134+E134</f>
        <v>391592.7</v>
      </c>
      <c r="G134" s="102">
        <f>+F134*5%</f>
        <v>19579.635000000002</v>
      </c>
      <c r="H134" s="102">
        <f>+F134+G134</f>
        <v>411172.33500000002</v>
      </c>
      <c r="I134" s="112"/>
      <c r="J134" s="112"/>
    </row>
    <row r="135" spans="1:10" s="25" customFormat="1" ht="15">
      <c r="A135" s="16" t="s">
        <v>247</v>
      </c>
      <c r="B135" s="17" t="s">
        <v>248</v>
      </c>
      <c r="C135" s="18">
        <f t="shared" ref="C135:H135" si="67">+C136</f>
        <v>1200</v>
      </c>
      <c r="D135" s="18">
        <f t="shared" si="67"/>
        <v>79.31</v>
      </c>
      <c r="E135" s="18">
        <f t="shared" si="67"/>
        <v>600</v>
      </c>
      <c r="F135" s="18">
        <f t="shared" si="67"/>
        <v>679.31</v>
      </c>
      <c r="G135" s="114">
        <f t="shared" si="67"/>
        <v>33.965499999999999</v>
      </c>
      <c r="H135" s="114">
        <f t="shared" si="67"/>
        <v>713.27549999999997</v>
      </c>
      <c r="I135" s="112"/>
      <c r="J135" s="112"/>
    </row>
    <row r="136" spans="1:10" s="19" customFormat="1" ht="15">
      <c r="A136" s="35" t="s">
        <v>249</v>
      </c>
      <c r="B136" s="36" t="s">
        <v>250</v>
      </c>
      <c r="C136" s="95">
        <v>1200</v>
      </c>
      <c r="D136" s="96">
        <v>79.31</v>
      </c>
      <c r="E136" s="34">
        <v>600</v>
      </c>
      <c r="F136" s="34">
        <f>+D136+E136</f>
        <v>679.31</v>
      </c>
      <c r="G136" s="102">
        <f>+F136*5%</f>
        <v>33.965499999999999</v>
      </c>
      <c r="H136" s="102">
        <f>+F136+G136</f>
        <v>713.27549999999997</v>
      </c>
      <c r="I136" s="112"/>
      <c r="J136" s="112"/>
    </row>
    <row r="137" spans="1:10" s="25" customFormat="1" ht="15">
      <c r="A137" s="16" t="s">
        <v>251</v>
      </c>
      <c r="B137" s="17" t="s">
        <v>252</v>
      </c>
      <c r="C137" s="18">
        <f t="shared" ref="C137:H137" si="68">+C138+C140+C141+C142+C143+C144</f>
        <v>2501600</v>
      </c>
      <c r="D137" s="18">
        <f t="shared" si="68"/>
        <v>2996556.94</v>
      </c>
      <c r="E137" s="18">
        <f t="shared" si="68"/>
        <v>3900522</v>
      </c>
      <c r="F137" s="18">
        <f t="shared" si="68"/>
        <v>6897078.9399999995</v>
      </c>
      <c r="G137" s="114">
        <f t="shared" si="68"/>
        <v>8026564.7470000004</v>
      </c>
      <c r="H137" s="114">
        <f t="shared" si="68"/>
        <v>14923643.687000001</v>
      </c>
      <c r="I137" s="112"/>
      <c r="J137" s="112"/>
    </row>
    <row r="138" spans="1:10" s="25" customFormat="1" ht="15">
      <c r="A138" s="16" t="s">
        <v>253</v>
      </c>
      <c r="B138" s="17" t="s">
        <v>254</v>
      </c>
      <c r="C138" s="18">
        <f t="shared" ref="C138:H138" si="69">+C139</f>
        <v>1416500</v>
      </c>
      <c r="D138" s="18">
        <f t="shared" si="69"/>
        <v>822385.54</v>
      </c>
      <c r="E138" s="18">
        <f t="shared" si="69"/>
        <v>274128</v>
      </c>
      <c r="F138" s="18">
        <f t="shared" si="69"/>
        <v>1096513.54</v>
      </c>
      <c r="G138" s="18">
        <f t="shared" si="69"/>
        <v>54825.677000000003</v>
      </c>
      <c r="H138" s="114">
        <f t="shared" si="69"/>
        <v>1151339.2169999999</v>
      </c>
      <c r="I138" s="112"/>
      <c r="J138" s="112"/>
    </row>
    <row r="139" spans="1:10" s="19" customFormat="1" ht="15">
      <c r="A139" s="35" t="s">
        <v>255</v>
      </c>
      <c r="B139" s="36" t="s">
        <v>256</v>
      </c>
      <c r="C139" s="95">
        <v>1416500</v>
      </c>
      <c r="D139" s="96">
        <v>822385.54</v>
      </c>
      <c r="E139" s="34">
        <v>274128</v>
      </c>
      <c r="F139" s="34">
        <f t="shared" ref="F139:F144" si="70">+D139+E139</f>
        <v>1096513.54</v>
      </c>
      <c r="G139" s="102">
        <f>+F139*5%</f>
        <v>54825.677000000003</v>
      </c>
      <c r="H139" s="102">
        <f>+F139+G139</f>
        <v>1151339.2169999999</v>
      </c>
      <c r="I139" s="112"/>
      <c r="J139" s="112"/>
    </row>
    <row r="140" spans="1:10" s="19" customFormat="1" ht="25.5">
      <c r="A140" s="35" t="s">
        <v>257</v>
      </c>
      <c r="B140" s="35" t="s">
        <v>258</v>
      </c>
      <c r="C140" s="95">
        <v>851000</v>
      </c>
      <c r="D140" s="96">
        <v>815121.4</v>
      </c>
      <c r="E140" s="34">
        <v>568494</v>
      </c>
      <c r="F140" s="34">
        <f t="shared" si="70"/>
        <v>1383615.4</v>
      </c>
      <c r="G140" s="102">
        <f t="shared" ref="G140:G144" si="71">+F140*5%</f>
        <v>69180.77</v>
      </c>
      <c r="H140" s="102">
        <f t="shared" ref="H140:H144" si="72">+F140+G140</f>
        <v>1452796.17</v>
      </c>
      <c r="I140" s="112"/>
      <c r="J140" s="112"/>
    </row>
    <row r="141" spans="1:10" s="19" customFormat="1" ht="15">
      <c r="A141" s="35" t="s">
        <v>259</v>
      </c>
      <c r="B141" s="36" t="s">
        <v>260</v>
      </c>
      <c r="C141" s="95">
        <v>3100</v>
      </c>
      <c r="D141" s="96">
        <v>1341750</v>
      </c>
      <c r="E141" s="34">
        <v>3047400</v>
      </c>
      <c r="F141" s="34">
        <f t="shared" si="70"/>
        <v>4389150</v>
      </c>
      <c r="G141" s="102">
        <f>+H141-F141</f>
        <v>7901168.3000000007</v>
      </c>
      <c r="H141" s="102">
        <f>10740518.3+1549800</f>
        <v>12290318.300000001</v>
      </c>
      <c r="I141" s="112"/>
      <c r="J141" s="112"/>
    </row>
    <row r="142" spans="1:10" s="19" customFormat="1" ht="15">
      <c r="A142" s="35" t="s">
        <v>261</v>
      </c>
      <c r="B142" s="36" t="s">
        <v>262</v>
      </c>
      <c r="C142" s="95">
        <v>150000</v>
      </c>
      <c r="D142" s="96">
        <v>17300</v>
      </c>
      <c r="E142" s="34">
        <v>10000</v>
      </c>
      <c r="F142" s="34">
        <f t="shared" si="70"/>
        <v>27300</v>
      </c>
      <c r="G142" s="102">
        <f t="shared" si="71"/>
        <v>1365</v>
      </c>
      <c r="H142" s="102">
        <f t="shared" si="72"/>
        <v>28665</v>
      </c>
      <c r="I142" s="112"/>
      <c r="J142" s="112"/>
    </row>
    <row r="143" spans="1:10" s="19" customFormat="1" ht="15">
      <c r="A143" s="35" t="s">
        <v>263</v>
      </c>
      <c r="B143" s="36" t="s">
        <v>264</v>
      </c>
      <c r="C143" s="95">
        <v>1000</v>
      </c>
      <c r="D143" s="95">
        <v>0</v>
      </c>
      <c r="E143" s="34">
        <v>500</v>
      </c>
      <c r="F143" s="34">
        <f t="shared" si="70"/>
        <v>500</v>
      </c>
      <c r="G143" s="102">
        <f t="shared" si="71"/>
        <v>25</v>
      </c>
      <c r="H143" s="102">
        <f t="shared" si="72"/>
        <v>525</v>
      </c>
      <c r="I143" s="112"/>
      <c r="J143" s="112"/>
    </row>
    <row r="144" spans="1:10" s="19" customFormat="1" ht="15">
      <c r="A144" s="35" t="s">
        <v>265</v>
      </c>
      <c r="B144" s="36" t="s">
        <v>266</v>
      </c>
      <c r="C144" s="95">
        <v>80000</v>
      </c>
      <c r="D144" s="95">
        <v>0</v>
      </c>
      <c r="E144" s="134">
        <f>D144/8*4</f>
        <v>0</v>
      </c>
      <c r="F144" s="34">
        <f t="shared" si="70"/>
        <v>0</v>
      </c>
      <c r="G144" s="102">
        <f t="shared" si="71"/>
        <v>0</v>
      </c>
      <c r="H144" s="102">
        <f t="shared" si="72"/>
        <v>0</v>
      </c>
      <c r="I144" s="112"/>
      <c r="J144" s="112"/>
    </row>
    <row r="145" spans="1:10" s="25" customFormat="1" ht="25.5">
      <c r="A145" s="16" t="s">
        <v>267</v>
      </c>
      <c r="B145" s="16" t="s">
        <v>268</v>
      </c>
      <c r="C145" s="18">
        <f t="shared" ref="C145:H145" si="73">+C146+C153+C156+C162+C165+C166</f>
        <v>11979500</v>
      </c>
      <c r="D145" s="18">
        <f t="shared" si="73"/>
        <v>8050881.5300000003</v>
      </c>
      <c r="E145" s="18">
        <f t="shared" si="73"/>
        <v>4503728.25</v>
      </c>
      <c r="F145" s="18">
        <f t="shared" si="73"/>
        <v>12554609.780000001</v>
      </c>
      <c r="G145" s="114">
        <f t="shared" si="73"/>
        <v>548580.48899999994</v>
      </c>
      <c r="H145" s="114">
        <f t="shared" si="73"/>
        <v>13103190.268999998</v>
      </c>
      <c r="I145" s="112"/>
      <c r="J145" s="112"/>
    </row>
    <row r="146" spans="1:10" s="19" customFormat="1" ht="25.5">
      <c r="A146" s="16" t="s">
        <v>269</v>
      </c>
      <c r="B146" s="16" t="s">
        <v>270</v>
      </c>
      <c r="C146" s="18">
        <f t="shared" ref="C146:H146" si="74">+C147+C148+C149+C150+C151+C152</f>
        <v>2030000</v>
      </c>
      <c r="D146" s="18">
        <f t="shared" si="74"/>
        <v>2490462.4200000004</v>
      </c>
      <c r="E146" s="18">
        <f t="shared" si="74"/>
        <v>522443</v>
      </c>
      <c r="F146" s="18">
        <f t="shared" si="74"/>
        <v>3012905.4200000004</v>
      </c>
      <c r="G146" s="114">
        <f t="shared" si="74"/>
        <v>-332604.72900000005</v>
      </c>
      <c r="H146" s="114">
        <f t="shared" si="74"/>
        <v>2680300.6909999996</v>
      </c>
      <c r="I146" s="112"/>
      <c r="J146" s="112"/>
    </row>
    <row r="147" spans="1:10" s="19" customFormat="1" ht="15">
      <c r="A147" s="124" t="s">
        <v>612</v>
      </c>
      <c r="B147" s="124" t="s">
        <v>613</v>
      </c>
      <c r="C147" s="95">
        <v>0</v>
      </c>
      <c r="D147" s="96">
        <v>63999.99</v>
      </c>
      <c r="E147" s="127">
        <v>0</v>
      </c>
      <c r="F147" s="34">
        <f t="shared" ref="F147" si="75">+D147+E147</f>
        <v>63999.99</v>
      </c>
      <c r="G147" s="102">
        <f>+F147*5%</f>
        <v>3199.9994999999999</v>
      </c>
      <c r="H147" s="102">
        <f>+F147+G147</f>
        <v>67199.989499999996</v>
      </c>
      <c r="I147" s="112"/>
      <c r="J147" s="112"/>
    </row>
    <row r="148" spans="1:10" s="19" customFormat="1" ht="15">
      <c r="A148" s="35" t="s">
        <v>271</v>
      </c>
      <c r="B148" s="36" t="s">
        <v>272</v>
      </c>
      <c r="C148" s="95">
        <v>2000000</v>
      </c>
      <c r="D148" s="96">
        <v>1975000</v>
      </c>
      <c r="E148" s="34">
        <v>390000</v>
      </c>
      <c r="F148" s="34">
        <f>+D148+E148</f>
        <v>2365000</v>
      </c>
      <c r="G148" s="102">
        <f>+H148-F148</f>
        <v>-365000</v>
      </c>
      <c r="H148" s="102">
        <v>2000000</v>
      </c>
      <c r="I148" s="112"/>
      <c r="J148" s="112"/>
    </row>
    <row r="149" spans="1:10" s="19" customFormat="1" ht="15">
      <c r="A149" s="35" t="s">
        <v>273</v>
      </c>
      <c r="B149" s="36" t="s">
        <v>274</v>
      </c>
      <c r="C149" s="95">
        <v>30000</v>
      </c>
      <c r="D149" s="96">
        <v>518.87</v>
      </c>
      <c r="E149" s="34">
        <v>1500</v>
      </c>
      <c r="F149" s="34">
        <f>+D149+E149</f>
        <v>2018.87</v>
      </c>
      <c r="G149" s="102">
        <f t="shared" ref="G149:G152" si="76">+F149*5%</f>
        <v>100.9435</v>
      </c>
      <c r="H149" s="102">
        <f t="shared" ref="H149:H152" si="77">+F149+G149</f>
        <v>2119.8134999999997</v>
      </c>
      <c r="I149" s="112"/>
      <c r="J149" s="112"/>
    </row>
    <row r="150" spans="1:10" s="19" customFormat="1" ht="15">
      <c r="A150" s="124" t="s">
        <v>614</v>
      </c>
      <c r="B150" s="124" t="s">
        <v>615</v>
      </c>
      <c r="C150" s="95">
        <v>0</v>
      </c>
      <c r="D150" s="96">
        <v>225000</v>
      </c>
      <c r="E150" s="34">
        <v>75000</v>
      </c>
      <c r="F150" s="34">
        <f t="shared" ref="F150:F152" si="78">+D150+E150</f>
        <v>300000</v>
      </c>
      <c r="G150" s="102">
        <f t="shared" si="76"/>
        <v>15000</v>
      </c>
      <c r="H150" s="102">
        <f t="shared" si="77"/>
        <v>315000</v>
      </c>
      <c r="I150" s="112"/>
      <c r="J150" s="112"/>
    </row>
    <row r="151" spans="1:10" s="19" customFormat="1" ht="15">
      <c r="A151" s="124" t="s">
        <v>616</v>
      </c>
      <c r="B151" s="124" t="s">
        <v>617</v>
      </c>
      <c r="C151" s="95">
        <v>0</v>
      </c>
      <c r="D151" s="96">
        <v>170000</v>
      </c>
      <c r="E151" s="34">
        <v>0</v>
      </c>
      <c r="F151" s="34">
        <f t="shared" si="78"/>
        <v>170000</v>
      </c>
      <c r="G151" s="102">
        <f t="shared" si="76"/>
        <v>8500</v>
      </c>
      <c r="H151" s="102">
        <f t="shared" si="77"/>
        <v>178500</v>
      </c>
      <c r="I151" s="112"/>
      <c r="J151" s="112"/>
    </row>
    <row r="152" spans="1:10" s="19" customFormat="1" ht="15">
      <c r="A152" s="124" t="s">
        <v>618</v>
      </c>
      <c r="B152" s="135" t="s">
        <v>697</v>
      </c>
      <c r="C152" s="95">
        <v>0</v>
      </c>
      <c r="D152" s="96">
        <v>55943.56</v>
      </c>
      <c r="E152" s="34">
        <v>55943</v>
      </c>
      <c r="F152" s="34">
        <f t="shared" si="78"/>
        <v>111886.56</v>
      </c>
      <c r="G152" s="102">
        <f t="shared" si="76"/>
        <v>5594.3280000000004</v>
      </c>
      <c r="H152" s="102">
        <f t="shared" si="77"/>
        <v>117480.88799999999</v>
      </c>
      <c r="I152" s="112"/>
      <c r="J152" s="112"/>
    </row>
    <row r="153" spans="1:10" s="25" customFormat="1" ht="15">
      <c r="A153" s="16" t="s">
        <v>275</v>
      </c>
      <c r="B153" s="16" t="s">
        <v>276</v>
      </c>
      <c r="C153" s="18">
        <f t="shared" ref="C153:H154" si="79">+C154</f>
        <v>3000000</v>
      </c>
      <c r="D153" s="18">
        <f t="shared" si="79"/>
        <v>623000</v>
      </c>
      <c r="E153" s="18">
        <f t="shared" si="79"/>
        <v>2115000</v>
      </c>
      <c r="F153" s="18">
        <f t="shared" si="79"/>
        <v>2738000</v>
      </c>
      <c r="G153" s="114">
        <f t="shared" si="79"/>
        <v>136900</v>
      </c>
      <c r="H153" s="114">
        <f t="shared" si="79"/>
        <v>2874900</v>
      </c>
      <c r="I153" s="112"/>
      <c r="J153" s="112"/>
    </row>
    <row r="154" spans="1:10" s="19" customFormat="1" ht="25.5">
      <c r="A154" s="16" t="s">
        <v>277</v>
      </c>
      <c r="B154" s="16" t="s">
        <v>278</v>
      </c>
      <c r="C154" s="18">
        <f t="shared" si="79"/>
        <v>3000000</v>
      </c>
      <c r="D154" s="18">
        <f t="shared" si="79"/>
        <v>623000</v>
      </c>
      <c r="E154" s="18">
        <f t="shared" si="79"/>
        <v>2115000</v>
      </c>
      <c r="F154" s="18">
        <f t="shared" si="79"/>
        <v>2738000</v>
      </c>
      <c r="G154" s="114">
        <f t="shared" si="79"/>
        <v>136900</v>
      </c>
      <c r="H154" s="114">
        <f t="shared" si="79"/>
        <v>2874900</v>
      </c>
      <c r="I154" s="112"/>
      <c r="J154" s="112"/>
    </row>
    <row r="155" spans="1:10" s="19" customFormat="1" ht="25.5">
      <c r="A155" s="35" t="s">
        <v>279</v>
      </c>
      <c r="B155" s="35" t="s">
        <v>280</v>
      </c>
      <c r="C155" s="95">
        <v>3000000</v>
      </c>
      <c r="D155" s="95">
        <v>623000</v>
      </c>
      <c r="E155" s="34">
        <f>45000+40000+30000+2000000</f>
        <v>2115000</v>
      </c>
      <c r="F155" s="34">
        <f>+D155+E155</f>
        <v>2738000</v>
      </c>
      <c r="G155" s="102">
        <f>+F155*5%</f>
        <v>136900</v>
      </c>
      <c r="H155" s="102">
        <f>+F155+G155</f>
        <v>2874900</v>
      </c>
      <c r="I155" s="112"/>
      <c r="J155" s="112"/>
    </row>
    <row r="156" spans="1:10" s="25" customFormat="1" ht="25.5">
      <c r="A156" s="16" t="s">
        <v>281</v>
      </c>
      <c r="B156" s="16" t="s">
        <v>282</v>
      </c>
      <c r="C156" s="18">
        <f>+C157+C160</f>
        <v>369500</v>
      </c>
      <c r="D156" s="18">
        <f>+D157+D160</f>
        <v>42666.65</v>
      </c>
      <c r="E156" s="18">
        <f>+E157+E160</f>
        <v>20000</v>
      </c>
      <c r="F156" s="18">
        <f>+F157+F160</f>
        <v>62666.65</v>
      </c>
      <c r="G156" s="102">
        <f>+H156-F156</f>
        <v>407233.33249999996</v>
      </c>
      <c r="H156" s="114">
        <f t="shared" ref="H156" si="80">+H157+H160</f>
        <v>469899.98249999998</v>
      </c>
      <c r="I156" s="112"/>
      <c r="J156" s="112"/>
    </row>
    <row r="157" spans="1:10" s="19" customFormat="1" ht="15">
      <c r="A157" s="16" t="s">
        <v>283</v>
      </c>
      <c r="B157" s="17" t="s">
        <v>284</v>
      </c>
      <c r="C157" s="18">
        <f>+C158+C159</f>
        <v>189500</v>
      </c>
      <c r="D157" s="18">
        <f>+D158+D159</f>
        <v>14666.65</v>
      </c>
      <c r="E157" s="18">
        <f>+E158+E159</f>
        <v>10000</v>
      </c>
      <c r="F157" s="18">
        <f>+F158+F159</f>
        <v>24666.65</v>
      </c>
      <c r="G157" s="114">
        <f t="shared" ref="G157:H157" si="81">+G158+G159</f>
        <v>1233.3325000000002</v>
      </c>
      <c r="H157" s="114">
        <f t="shared" si="81"/>
        <v>25899.982500000002</v>
      </c>
      <c r="I157" s="112"/>
      <c r="J157" s="112"/>
    </row>
    <row r="158" spans="1:10" s="19" customFormat="1" ht="15">
      <c r="A158" s="35" t="s">
        <v>285</v>
      </c>
      <c r="B158" s="36" t="s">
        <v>286</v>
      </c>
      <c r="C158" s="95">
        <v>95000</v>
      </c>
      <c r="D158" s="115">
        <v>14666.65</v>
      </c>
      <c r="E158" s="34">
        <v>10000</v>
      </c>
      <c r="F158" s="34">
        <f>+D158+E158</f>
        <v>24666.65</v>
      </c>
      <c r="G158" s="102">
        <f>+F158*5%</f>
        <v>1233.3325000000002</v>
      </c>
      <c r="H158" s="102">
        <f>+F158+G158</f>
        <v>25899.982500000002</v>
      </c>
      <c r="I158" s="112"/>
      <c r="J158" s="112"/>
    </row>
    <row r="159" spans="1:10" s="19" customFormat="1" ht="15">
      <c r="A159" s="35" t="s">
        <v>287</v>
      </c>
      <c r="B159" s="36" t="s">
        <v>288</v>
      </c>
      <c r="C159" s="130">
        <v>94500</v>
      </c>
      <c r="D159" s="95">
        <v>0</v>
      </c>
      <c r="E159" s="34">
        <v>0</v>
      </c>
      <c r="F159" s="34">
        <f>+D159+E159</f>
        <v>0</v>
      </c>
      <c r="G159" s="102">
        <v>0</v>
      </c>
      <c r="H159" s="117">
        <v>0</v>
      </c>
      <c r="I159" s="112"/>
      <c r="J159" s="112"/>
    </row>
    <row r="160" spans="1:10" s="25" customFormat="1" ht="15">
      <c r="A160" s="16" t="s">
        <v>289</v>
      </c>
      <c r="B160" s="17" t="s">
        <v>290</v>
      </c>
      <c r="C160" s="18">
        <f>C161</f>
        <v>180000</v>
      </c>
      <c r="D160" s="18">
        <f>D161</f>
        <v>28000</v>
      </c>
      <c r="E160" s="18">
        <f>E161</f>
        <v>10000</v>
      </c>
      <c r="F160" s="18">
        <f>F161</f>
        <v>38000</v>
      </c>
      <c r="G160" s="114">
        <f t="shared" ref="G160:H160" si="82">G161</f>
        <v>406000</v>
      </c>
      <c r="H160" s="114">
        <f t="shared" si="82"/>
        <v>444000</v>
      </c>
      <c r="I160" s="112"/>
      <c r="J160" s="112"/>
    </row>
    <row r="161" spans="1:10" s="19" customFormat="1" ht="15">
      <c r="A161" s="35" t="s">
        <v>291</v>
      </c>
      <c r="B161" s="36" t="s">
        <v>286</v>
      </c>
      <c r="C161" s="130">
        <v>180000</v>
      </c>
      <c r="D161" s="95">
        <v>28000</v>
      </c>
      <c r="E161" s="34">
        <v>10000</v>
      </c>
      <c r="F161" s="34">
        <f>+D161+E161</f>
        <v>38000</v>
      </c>
      <c r="G161" s="102">
        <f>+H161-F161</f>
        <v>406000</v>
      </c>
      <c r="H161" s="102">
        <f>264000+180000</f>
        <v>444000</v>
      </c>
      <c r="I161" s="112"/>
      <c r="J161" s="112"/>
    </row>
    <row r="162" spans="1:10" s="25" customFormat="1" ht="15">
      <c r="A162" s="16" t="s">
        <v>292</v>
      </c>
      <c r="B162" s="16" t="s">
        <v>293</v>
      </c>
      <c r="C162" s="18">
        <f t="shared" ref="C162:H163" si="83">+C163</f>
        <v>20000</v>
      </c>
      <c r="D162" s="18">
        <f t="shared" si="83"/>
        <v>3124.03</v>
      </c>
      <c r="E162" s="18">
        <f t="shared" si="83"/>
        <v>2376</v>
      </c>
      <c r="F162" s="18">
        <f t="shared" si="83"/>
        <v>5500.0300000000007</v>
      </c>
      <c r="G162" s="114">
        <f t="shared" si="83"/>
        <v>275.00150000000002</v>
      </c>
      <c r="H162" s="114">
        <f t="shared" si="83"/>
        <v>5775.031500000001</v>
      </c>
      <c r="I162" s="112"/>
      <c r="J162" s="112"/>
    </row>
    <row r="163" spans="1:10" s="25" customFormat="1" ht="25.5">
      <c r="A163" s="16" t="s">
        <v>294</v>
      </c>
      <c r="B163" s="16" t="s">
        <v>295</v>
      </c>
      <c r="C163" s="18">
        <f t="shared" si="83"/>
        <v>20000</v>
      </c>
      <c r="D163" s="18">
        <f t="shared" si="83"/>
        <v>3124.03</v>
      </c>
      <c r="E163" s="18">
        <f t="shared" si="83"/>
        <v>2376</v>
      </c>
      <c r="F163" s="18">
        <f t="shared" si="83"/>
        <v>5500.0300000000007</v>
      </c>
      <c r="G163" s="114">
        <f t="shared" si="83"/>
        <v>275.00150000000002</v>
      </c>
      <c r="H163" s="114">
        <f t="shared" si="83"/>
        <v>5775.031500000001</v>
      </c>
      <c r="I163" s="112"/>
      <c r="J163" s="112"/>
    </row>
    <row r="164" spans="1:10" s="19" customFormat="1" ht="25.5">
      <c r="A164" s="35" t="s">
        <v>296</v>
      </c>
      <c r="B164" s="35" t="s">
        <v>297</v>
      </c>
      <c r="C164" s="130">
        <v>20000</v>
      </c>
      <c r="D164" s="96">
        <v>3124.03</v>
      </c>
      <c r="E164" s="34">
        <f>792*3</f>
        <v>2376</v>
      </c>
      <c r="F164" s="34">
        <f>+D164+E164</f>
        <v>5500.0300000000007</v>
      </c>
      <c r="G164" s="102">
        <f>+F164*0.05</f>
        <v>275.00150000000002</v>
      </c>
      <c r="H164" s="102">
        <f>+F164+G164</f>
        <v>5775.031500000001</v>
      </c>
      <c r="I164" s="112"/>
      <c r="J164" s="112"/>
    </row>
    <row r="165" spans="1:10" s="25" customFormat="1" ht="15">
      <c r="A165" s="16" t="s">
        <v>298</v>
      </c>
      <c r="B165" s="17" t="s">
        <v>299</v>
      </c>
      <c r="C165" s="129">
        <v>4150000</v>
      </c>
      <c r="D165" s="96">
        <v>3657308.43</v>
      </c>
      <c r="E165" s="136">
        <f>1425408+1061.25</f>
        <v>1426469.25</v>
      </c>
      <c r="F165" s="136">
        <f>+D165+E165</f>
        <v>5083777.68</v>
      </c>
      <c r="G165" s="102">
        <f>+F165*0.05</f>
        <v>254188.88399999999</v>
      </c>
      <c r="H165" s="102">
        <f>+F165+G165</f>
        <v>5337966.5639999993</v>
      </c>
      <c r="I165" s="112"/>
      <c r="J165" s="112"/>
    </row>
    <row r="166" spans="1:10" s="25" customFormat="1" ht="25.5">
      <c r="A166" s="16" t="s">
        <v>300</v>
      </c>
      <c r="B166" s="16" t="s">
        <v>301</v>
      </c>
      <c r="C166" s="18">
        <f t="shared" ref="C166:H166" si="84">+C167+C168+C169</f>
        <v>2410000</v>
      </c>
      <c r="D166" s="18">
        <f t="shared" si="84"/>
        <v>1234320</v>
      </c>
      <c r="E166" s="18">
        <f t="shared" si="84"/>
        <v>417440</v>
      </c>
      <c r="F166" s="18">
        <f t="shared" si="84"/>
        <v>1651760</v>
      </c>
      <c r="G166" s="114">
        <f t="shared" si="84"/>
        <v>82588</v>
      </c>
      <c r="H166" s="114">
        <f t="shared" si="84"/>
        <v>1734348</v>
      </c>
      <c r="I166" s="112"/>
      <c r="J166" s="112"/>
    </row>
    <row r="167" spans="1:10" s="19" customFormat="1" ht="15">
      <c r="A167" s="35" t="s">
        <v>302</v>
      </c>
      <c r="B167" s="35" t="s">
        <v>303</v>
      </c>
      <c r="C167" s="95">
        <v>2400000</v>
      </c>
      <c r="D167" s="96">
        <v>1210320</v>
      </c>
      <c r="E167" s="34">
        <v>403440</v>
      </c>
      <c r="F167" s="34">
        <f>+D167+E167</f>
        <v>1613760</v>
      </c>
      <c r="G167" s="102">
        <f>+F167*0.05</f>
        <v>80688</v>
      </c>
      <c r="H167" s="102">
        <f>+F167+G167</f>
        <v>1694448</v>
      </c>
      <c r="I167" s="112"/>
      <c r="J167" s="112"/>
    </row>
    <row r="168" spans="1:10" s="19" customFormat="1" ht="15">
      <c r="A168" s="35" t="s">
        <v>304</v>
      </c>
      <c r="B168" s="36" t="s">
        <v>305</v>
      </c>
      <c r="C168" s="95">
        <v>10000</v>
      </c>
      <c r="D168" s="95">
        <v>0</v>
      </c>
      <c r="E168" s="34">
        <v>2000</v>
      </c>
      <c r="F168" s="34">
        <f>+D168+E168</f>
        <v>2000</v>
      </c>
      <c r="G168" s="102">
        <f t="shared" ref="G168:G169" si="85">+F168*0.05</f>
        <v>100</v>
      </c>
      <c r="H168" s="102">
        <f t="shared" ref="H168:H169" si="86">+F168+G168</f>
        <v>2100</v>
      </c>
      <c r="I168" s="112"/>
      <c r="J168" s="112"/>
    </row>
    <row r="169" spans="1:10" s="19" customFormat="1" ht="25.5">
      <c r="A169" s="35" t="s">
        <v>306</v>
      </c>
      <c r="B169" s="119" t="s">
        <v>698</v>
      </c>
      <c r="C169" s="130">
        <v>0</v>
      </c>
      <c r="D169" s="95">
        <v>24000</v>
      </c>
      <c r="E169" s="34">
        <v>12000</v>
      </c>
      <c r="F169" s="34">
        <f>+D169+E169</f>
        <v>36000</v>
      </c>
      <c r="G169" s="102">
        <f t="shared" si="85"/>
        <v>1800</v>
      </c>
      <c r="H169" s="102">
        <f t="shared" si="86"/>
        <v>37800</v>
      </c>
      <c r="I169" s="112"/>
      <c r="J169" s="112"/>
    </row>
    <row r="170" spans="1:10" s="25" customFormat="1" ht="15">
      <c r="A170" s="16" t="s">
        <v>308</v>
      </c>
      <c r="B170" s="17" t="s">
        <v>309</v>
      </c>
      <c r="C170" s="18">
        <f>+C171+C177+C183+C185</f>
        <v>27722800</v>
      </c>
      <c r="D170" s="18">
        <f>+D171+D177+D183+D185</f>
        <v>25348108.409999996</v>
      </c>
      <c r="E170" s="18">
        <f>+E171+E177+E183+E185</f>
        <v>8559632</v>
      </c>
      <c r="F170" s="18">
        <f>+F171+F177+F183+F185</f>
        <v>33907740.409999996</v>
      </c>
      <c r="G170" s="114">
        <f t="shared" ref="G170:H170" si="87">+G171+G177+G183+G185</f>
        <v>-2542736.4524999997</v>
      </c>
      <c r="H170" s="114">
        <f t="shared" si="87"/>
        <v>31365003.957500003</v>
      </c>
      <c r="I170" s="112"/>
      <c r="J170" s="112"/>
    </row>
    <row r="171" spans="1:10" s="25" customFormat="1" ht="15">
      <c r="A171" s="16" t="s">
        <v>310</v>
      </c>
      <c r="B171" s="17" t="s">
        <v>311</v>
      </c>
      <c r="C171" s="18">
        <f>+C172+C173+C174+C175+C176</f>
        <v>4865600</v>
      </c>
      <c r="D171" s="18">
        <f>+D172+D173+D174+D175+D176</f>
        <v>479151.92999999993</v>
      </c>
      <c r="E171" s="18">
        <f>+E172+E173+E174+E175+E176</f>
        <v>1239654</v>
      </c>
      <c r="F171" s="18">
        <f>+F172+F173+F174+F175+F176</f>
        <v>1718805.9300000002</v>
      </c>
      <c r="G171" s="114">
        <f t="shared" ref="G171:H171" si="88">+G172+G173+G174+G175+G176</f>
        <v>85940.296499999997</v>
      </c>
      <c r="H171" s="114">
        <f t="shared" si="88"/>
        <v>1804746.2265000001</v>
      </c>
      <c r="I171" s="112"/>
      <c r="J171" s="112"/>
    </row>
    <row r="172" spans="1:10" s="19" customFormat="1" ht="15">
      <c r="A172" s="35" t="s">
        <v>312</v>
      </c>
      <c r="B172" s="36" t="s">
        <v>313</v>
      </c>
      <c r="C172" s="95">
        <v>744000</v>
      </c>
      <c r="D172" s="96">
        <v>426389.97</v>
      </c>
      <c r="E172" s="128">
        <v>135276</v>
      </c>
      <c r="F172" s="34">
        <f>+D172+E172</f>
        <v>561665.97</v>
      </c>
      <c r="G172" s="102">
        <f>+F172*0.05</f>
        <v>28083.298500000001</v>
      </c>
      <c r="H172" s="102">
        <f>+F172+G172</f>
        <v>589749.26850000001</v>
      </c>
      <c r="I172" s="112"/>
      <c r="J172" s="112"/>
    </row>
    <row r="173" spans="1:10" s="19" customFormat="1" ht="15">
      <c r="A173" s="35" t="s">
        <v>314</v>
      </c>
      <c r="B173" s="36" t="s">
        <v>315</v>
      </c>
      <c r="C173" s="95">
        <v>12000</v>
      </c>
      <c r="D173" s="96">
        <v>8499.89</v>
      </c>
      <c r="E173" s="34">
        <v>2848</v>
      </c>
      <c r="F173" s="34">
        <f>+D173+E173</f>
        <v>11347.89</v>
      </c>
      <c r="G173" s="102">
        <f t="shared" ref="G173:G176" si="89">+F173*0.05</f>
        <v>567.39449999999999</v>
      </c>
      <c r="H173" s="102">
        <f t="shared" ref="H173:H176" si="90">+F173+G173</f>
        <v>11915.2845</v>
      </c>
      <c r="I173" s="112"/>
      <c r="J173" s="112"/>
    </row>
    <row r="174" spans="1:10" s="19" customFormat="1" ht="15" hidden="1">
      <c r="A174" s="35" t="s">
        <v>316</v>
      </c>
      <c r="B174" s="125" t="s">
        <v>317</v>
      </c>
      <c r="C174" s="95">
        <v>2600000</v>
      </c>
      <c r="D174" s="95">
        <v>0</v>
      </c>
      <c r="E174" s="34">
        <v>0</v>
      </c>
      <c r="F174" s="34">
        <f>+D174+E174</f>
        <v>0</v>
      </c>
      <c r="G174" s="102">
        <f t="shared" si="89"/>
        <v>0</v>
      </c>
      <c r="H174" s="102">
        <f t="shared" si="90"/>
        <v>0</v>
      </c>
      <c r="I174" s="112"/>
      <c r="J174" s="112"/>
    </row>
    <row r="175" spans="1:10" s="19" customFormat="1" ht="15">
      <c r="A175" s="35" t="s">
        <v>318</v>
      </c>
      <c r="B175" s="36" t="s">
        <v>319</v>
      </c>
      <c r="C175" s="130">
        <v>1500000</v>
      </c>
      <c r="D175" s="96">
        <v>37160.97</v>
      </c>
      <c r="E175" s="34">
        <v>1100000</v>
      </c>
      <c r="F175" s="34">
        <f>+D175+E175</f>
        <v>1137160.97</v>
      </c>
      <c r="G175" s="102">
        <f t="shared" si="89"/>
        <v>56858.048500000004</v>
      </c>
      <c r="H175" s="102">
        <f t="shared" si="90"/>
        <v>1194019.0185</v>
      </c>
      <c r="I175" s="112"/>
      <c r="J175" s="112"/>
    </row>
    <row r="176" spans="1:10" s="19" customFormat="1" ht="15">
      <c r="A176" s="35" t="s">
        <v>320</v>
      </c>
      <c r="B176" s="36" t="s">
        <v>321</v>
      </c>
      <c r="C176" s="95">
        <v>9600</v>
      </c>
      <c r="D176" s="96">
        <v>7101.1</v>
      </c>
      <c r="E176" s="34">
        <v>1530</v>
      </c>
      <c r="F176" s="34">
        <f>+D176+E176</f>
        <v>8631.1</v>
      </c>
      <c r="G176" s="102">
        <f t="shared" si="89"/>
        <v>431.55500000000006</v>
      </c>
      <c r="H176" s="102">
        <f t="shared" si="90"/>
        <v>9062.6550000000007</v>
      </c>
      <c r="I176" s="112"/>
      <c r="J176" s="112"/>
    </row>
    <row r="177" spans="1:10" s="25" customFormat="1" ht="25.5">
      <c r="A177" s="16" t="s">
        <v>322</v>
      </c>
      <c r="B177" s="16" t="s">
        <v>323</v>
      </c>
      <c r="C177" s="18">
        <f>+C178+C180+C181+C182+C179</f>
        <v>15807200</v>
      </c>
      <c r="D177" s="18">
        <f>+D178+D180+D181+D182+D179</f>
        <v>13412497.459999999</v>
      </c>
      <c r="E177" s="18">
        <f>+E178+E180+E181+E182+E179</f>
        <v>2635223</v>
      </c>
      <c r="F177" s="18">
        <f>+F178+F180+F181+F182+F179</f>
        <v>16047720.459999999</v>
      </c>
      <c r="G177" s="114">
        <f t="shared" ref="G177:H177" si="91">+G178+G180+G181+G182+G179</f>
        <v>-5988412.7290000003</v>
      </c>
      <c r="H177" s="114">
        <f t="shared" si="91"/>
        <v>10059307.731000002</v>
      </c>
      <c r="I177" s="112"/>
      <c r="J177" s="112"/>
    </row>
    <row r="178" spans="1:10" s="19" customFormat="1" ht="15">
      <c r="A178" s="35" t="s">
        <v>324</v>
      </c>
      <c r="B178" s="36" t="s">
        <v>325</v>
      </c>
      <c r="C178" s="95">
        <v>2500000</v>
      </c>
      <c r="D178" s="96">
        <v>1750518.6</v>
      </c>
      <c r="E178" s="34">
        <v>970000</v>
      </c>
      <c r="F178" s="34">
        <f t="shared" ref="F178:F184" si="92">+D178+E178</f>
        <v>2720518.6</v>
      </c>
      <c r="G178" s="102">
        <f>+F178*0.05</f>
        <v>136025.93000000002</v>
      </c>
      <c r="H178" s="102">
        <f>+F178+G178</f>
        <v>2856544.5300000003</v>
      </c>
      <c r="I178" s="112"/>
      <c r="J178" s="112"/>
    </row>
    <row r="179" spans="1:10" s="19" customFormat="1" ht="15">
      <c r="A179" s="124" t="s">
        <v>620</v>
      </c>
      <c r="B179" s="135" t="s">
        <v>621</v>
      </c>
      <c r="C179" s="95">
        <v>0</v>
      </c>
      <c r="D179" s="96">
        <v>158</v>
      </c>
      <c r="E179" s="34">
        <v>200</v>
      </c>
      <c r="F179" s="34">
        <f t="shared" si="92"/>
        <v>358</v>
      </c>
      <c r="G179" s="102">
        <f t="shared" ref="G179:G182" si="93">+F179*0.05</f>
        <v>17.900000000000002</v>
      </c>
      <c r="H179" s="102">
        <f t="shared" ref="H179:H182" si="94">+F179+G179</f>
        <v>375.9</v>
      </c>
      <c r="I179" s="112"/>
      <c r="J179" s="112"/>
    </row>
    <row r="180" spans="1:10" s="19" customFormat="1" ht="15">
      <c r="A180" s="35" t="s">
        <v>326</v>
      </c>
      <c r="B180" s="137" t="s">
        <v>327</v>
      </c>
      <c r="C180" s="95">
        <v>13000000</v>
      </c>
      <c r="D180" s="96">
        <v>10265697</v>
      </c>
      <c r="E180" s="34">
        <v>1392000</v>
      </c>
      <c r="F180" s="34">
        <f t="shared" si="92"/>
        <v>11657697</v>
      </c>
      <c r="G180" s="102">
        <f>+H180-F180</f>
        <v>-5857697</v>
      </c>
      <c r="H180" s="102">
        <v>5800000</v>
      </c>
      <c r="I180" s="112"/>
      <c r="J180" s="112"/>
    </row>
    <row r="181" spans="1:10" s="19" customFormat="1" ht="15">
      <c r="A181" s="35" t="s">
        <v>328</v>
      </c>
      <c r="B181" s="36" t="s">
        <v>329</v>
      </c>
      <c r="C181" s="95">
        <v>7200</v>
      </c>
      <c r="D181" s="96">
        <v>1394650.24</v>
      </c>
      <c r="E181" s="34">
        <v>272223</v>
      </c>
      <c r="F181" s="34">
        <f t="shared" si="92"/>
        <v>1666873.24</v>
      </c>
      <c r="G181" s="102">
        <f>+H181-F181</f>
        <v>-266873.24</v>
      </c>
      <c r="H181" s="102">
        <v>1400000</v>
      </c>
      <c r="I181" s="112"/>
      <c r="J181" s="112"/>
    </row>
    <row r="182" spans="1:10" s="19" customFormat="1" ht="15">
      <c r="A182" s="35" t="s">
        <v>330</v>
      </c>
      <c r="B182" s="36" t="s">
        <v>331</v>
      </c>
      <c r="C182" s="95">
        <v>300000</v>
      </c>
      <c r="D182" s="96">
        <v>1473.62</v>
      </c>
      <c r="E182" s="34">
        <v>800</v>
      </c>
      <c r="F182" s="34">
        <f t="shared" si="92"/>
        <v>2273.62</v>
      </c>
      <c r="G182" s="102">
        <f t="shared" si="93"/>
        <v>113.681</v>
      </c>
      <c r="H182" s="102">
        <f t="shared" si="94"/>
        <v>2387.3009999999999</v>
      </c>
      <c r="I182" s="112"/>
      <c r="J182" s="112"/>
    </row>
    <row r="183" spans="1:10" s="19" customFormat="1" ht="15">
      <c r="A183" s="138" t="s">
        <v>666</v>
      </c>
      <c r="B183" s="25" t="s">
        <v>667</v>
      </c>
      <c r="C183" s="136">
        <f>C184</f>
        <v>50000</v>
      </c>
      <c r="D183" s="136">
        <f>D184</f>
        <v>600</v>
      </c>
      <c r="E183" s="136">
        <f>E184</f>
        <v>300</v>
      </c>
      <c r="F183" s="34">
        <f t="shared" si="92"/>
        <v>900</v>
      </c>
      <c r="G183" s="102">
        <f>+G184</f>
        <v>50</v>
      </c>
      <c r="H183" s="102">
        <f>+H184</f>
        <v>950</v>
      </c>
      <c r="I183" s="112"/>
      <c r="J183" s="112"/>
    </row>
    <row r="184" spans="1:10" s="19" customFormat="1" ht="15">
      <c r="A184" s="124" t="s">
        <v>622</v>
      </c>
      <c r="B184" s="119" t="s">
        <v>602</v>
      </c>
      <c r="C184" s="95">
        <v>50000</v>
      </c>
      <c r="D184" s="96">
        <v>600</v>
      </c>
      <c r="E184" s="34">
        <f>D184/8*4</f>
        <v>300</v>
      </c>
      <c r="F184" s="34">
        <f t="shared" si="92"/>
        <v>900</v>
      </c>
      <c r="G184" s="102">
        <f>+H184-F184</f>
        <v>50</v>
      </c>
      <c r="H184" s="102">
        <v>950</v>
      </c>
      <c r="I184" s="112"/>
      <c r="J184" s="112"/>
    </row>
    <row r="185" spans="1:10" s="25" customFormat="1" ht="25.5">
      <c r="A185" s="16" t="s">
        <v>332</v>
      </c>
      <c r="B185" s="16" t="s">
        <v>333</v>
      </c>
      <c r="C185" s="18">
        <f>+C186</f>
        <v>7000000</v>
      </c>
      <c r="D185" s="18">
        <f>+D186</f>
        <v>11455859.02</v>
      </c>
      <c r="E185" s="18">
        <f>+E186</f>
        <v>4684455</v>
      </c>
      <c r="F185" s="18">
        <f>+F186</f>
        <v>16140314.02</v>
      </c>
      <c r="G185" s="114">
        <f t="shared" ref="G185:H185" si="95">+G186</f>
        <v>3359685.9800000004</v>
      </c>
      <c r="H185" s="114">
        <f t="shared" si="95"/>
        <v>19500000</v>
      </c>
      <c r="I185" s="112"/>
      <c r="J185" s="112"/>
    </row>
    <row r="186" spans="1:10" s="19" customFormat="1" ht="15">
      <c r="A186" s="135" t="s">
        <v>703</v>
      </c>
      <c r="B186" s="139" t="s">
        <v>335</v>
      </c>
      <c r="C186" s="95">
        <v>7000000</v>
      </c>
      <c r="D186" s="115">
        <v>11455859.02</v>
      </c>
      <c r="E186" s="34">
        <v>4684455</v>
      </c>
      <c r="F186" s="34">
        <f>+D186+E186</f>
        <v>16140314.02</v>
      </c>
      <c r="G186" s="102">
        <f>+H186-F186</f>
        <v>3359685.9800000004</v>
      </c>
      <c r="H186" s="102">
        <v>19500000</v>
      </c>
      <c r="I186" s="112"/>
      <c r="J186" s="112"/>
    </row>
    <row r="187" spans="1:10" s="19" customFormat="1" ht="15">
      <c r="B187" s="36"/>
      <c r="E187" s="34"/>
      <c r="G187" s="102"/>
      <c r="H187" s="102"/>
      <c r="I187" s="112"/>
      <c r="J187" s="112"/>
    </row>
    <row r="188" spans="1:10" s="19" customFormat="1" ht="25.5">
      <c r="A188" s="16" t="s">
        <v>336</v>
      </c>
      <c r="B188" s="16" t="s">
        <v>337</v>
      </c>
      <c r="C188" s="18">
        <f>+C189+C193+C195+C199+C203+C205+C210</f>
        <v>17296000</v>
      </c>
      <c r="D188" s="18">
        <f>+D189+D193+D195+D199+D203+D205+D210</f>
        <v>19345041.75</v>
      </c>
      <c r="E188" s="18">
        <f>+E189+E193+E195+E199+E203+E205+E210</f>
        <v>12467073.35</v>
      </c>
      <c r="F188" s="18">
        <f>+F189+F193+F195+F199+F203+F205+F210</f>
        <v>32323864.59</v>
      </c>
      <c r="G188" s="114">
        <f t="shared" ref="G188:H188" si="96">+G189+G193+G195+G199+G203+G205+G210</f>
        <v>1616193.2295000001</v>
      </c>
      <c r="H188" s="114">
        <f t="shared" si="96"/>
        <v>33940057.819499999</v>
      </c>
      <c r="I188" s="112"/>
      <c r="J188" s="112"/>
    </row>
    <row r="189" spans="1:10" s="19" customFormat="1" ht="15">
      <c r="A189" s="16" t="s">
        <v>338</v>
      </c>
      <c r="B189" s="16" t="s">
        <v>339</v>
      </c>
      <c r="C189" s="18">
        <f>+C190+C191+C192</f>
        <v>550000</v>
      </c>
      <c r="D189" s="18">
        <f>+D190+D191+D192</f>
        <v>602435.59</v>
      </c>
      <c r="E189" s="18">
        <f>+E190+E191+E192</f>
        <v>295500</v>
      </c>
      <c r="F189" s="18">
        <f>+F190+F191+F192</f>
        <v>1027409.0800000001</v>
      </c>
      <c r="G189" s="114">
        <f t="shared" ref="G189:H189" si="97">+G190+G191+G192</f>
        <v>51370.453999999998</v>
      </c>
      <c r="H189" s="114">
        <f t="shared" si="97"/>
        <v>1078779.534</v>
      </c>
      <c r="I189" s="112"/>
      <c r="J189" s="112"/>
    </row>
    <row r="190" spans="1:10" s="19" customFormat="1" ht="15">
      <c r="A190" s="35" t="s">
        <v>340</v>
      </c>
      <c r="B190" s="36" t="s">
        <v>341</v>
      </c>
      <c r="C190" s="95">
        <v>50000</v>
      </c>
      <c r="D190" s="115">
        <v>64771.42</v>
      </c>
      <c r="E190" s="34">
        <v>15000</v>
      </c>
      <c r="F190" s="34">
        <f>+D190+E190</f>
        <v>79771.42</v>
      </c>
      <c r="G190" s="102">
        <f>+F190*0.05</f>
        <v>3988.5709999999999</v>
      </c>
      <c r="H190" s="102">
        <f>+F190+G190</f>
        <v>83759.990999999995</v>
      </c>
      <c r="I190" s="112"/>
      <c r="J190" s="112"/>
    </row>
    <row r="191" spans="1:10" s="19" customFormat="1" ht="15">
      <c r="A191" s="35" t="s">
        <v>342</v>
      </c>
      <c r="B191" s="35" t="s">
        <v>343</v>
      </c>
      <c r="C191" s="95">
        <v>500000</v>
      </c>
      <c r="D191" s="115">
        <v>402664.17</v>
      </c>
      <c r="E191" s="34">
        <v>213000</v>
      </c>
      <c r="F191" s="34">
        <v>745137.66</v>
      </c>
      <c r="G191" s="102">
        <f t="shared" ref="G191:G192" si="98">+F191*0.05</f>
        <v>37256.883000000002</v>
      </c>
      <c r="H191" s="102">
        <f t="shared" ref="H191:H192" si="99">+F191+G191</f>
        <v>782394.54300000006</v>
      </c>
      <c r="I191" s="112"/>
      <c r="J191" s="112"/>
    </row>
    <row r="192" spans="1:10" s="19" customFormat="1" ht="15">
      <c r="A192" s="124" t="s">
        <v>623</v>
      </c>
      <c r="B192" s="124" t="s">
        <v>624</v>
      </c>
      <c r="C192" s="95">
        <v>0</v>
      </c>
      <c r="D192" s="115">
        <v>135000</v>
      </c>
      <c r="E192" s="34">
        <f>D192/8*4</f>
        <v>67500</v>
      </c>
      <c r="F192" s="34">
        <f>+D192+E192</f>
        <v>202500</v>
      </c>
      <c r="G192" s="102">
        <f t="shared" si="98"/>
        <v>10125</v>
      </c>
      <c r="H192" s="102">
        <f t="shared" si="99"/>
        <v>212625</v>
      </c>
      <c r="I192" s="112"/>
      <c r="J192" s="112"/>
    </row>
    <row r="193" spans="1:10" s="19" customFormat="1" ht="38.25">
      <c r="A193" s="16" t="s">
        <v>344</v>
      </c>
      <c r="B193" s="16" t="s">
        <v>345</v>
      </c>
      <c r="C193" s="18">
        <f>+C194</f>
        <v>80000</v>
      </c>
      <c r="D193" s="18">
        <f>+D194</f>
        <v>31888.15</v>
      </c>
      <c r="E193" s="18">
        <f>+E194</f>
        <v>10350</v>
      </c>
      <c r="F193" s="18">
        <f>+F194</f>
        <v>183280.15</v>
      </c>
      <c r="G193" s="114">
        <f t="shared" ref="G193:H193" si="100">+G194</f>
        <v>9164.0074999999997</v>
      </c>
      <c r="H193" s="114">
        <f t="shared" si="100"/>
        <v>192444.1575</v>
      </c>
      <c r="I193" s="112"/>
      <c r="J193" s="112"/>
    </row>
    <row r="194" spans="1:10" s="19" customFormat="1" ht="15">
      <c r="A194" s="35" t="s">
        <v>346</v>
      </c>
      <c r="B194" s="36" t="s">
        <v>347</v>
      </c>
      <c r="C194" s="95">
        <v>80000</v>
      </c>
      <c r="D194" s="115">
        <v>31888.15</v>
      </c>
      <c r="E194" s="34">
        <v>10350</v>
      </c>
      <c r="F194" s="34">
        <v>183280.15</v>
      </c>
      <c r="G194" s="102">
        <f>+F194*0.05</f>
        <v>9164.0074999999997</v>
      </c>
      <c r="H194" s="102">
        <f>+F194+G194</f>
        <v>192444.1575</v>
      </c>
      <c r="I194" s="112"/>
      <c r="J194" s="112"/>
    </row>
    <row r="195" spans="1:10" s="19" customFormat="1" ht="15">
      <c r="A195" s="16" t="s">
        <v>348</v>
      </c>
      <c r="B195" s="16" t="s">
        <v>349</v>
      </c>
      <c r="C195" s="18">
        <f>+C196+C197+C198</f>
        <v>325000</v>
      </c>
      <c r="D195" s="18">
        <f>+D196+D197+D198</f>
        <v>0</v>
      </c>
      <c r="E195" s="18">
        <f>+E196+E197+E198</f>
        <v>0</v>
      </c>
      <c r="F195" s="18">
        <f>+F196+F197+F198</f>
        <v>0</v>
      </c>
      <c r="G195" s="114">
        <f t="shared" ref="G195:H195" si="101">+G196+G197+G198</f>
        <v>0</v>
      </c>
      <c r="H195" s="114">
        <f t="shared" si="101"/>
        <v>0</v>
      </c>
      <c r="I195" s="112"/>
      <c r="J195" s="112"/>
    </row>
    <row r="196" spans="1:10" s="19" customFormat="1" ht="15">
      <c r="A196" s="35" t="s">
        <v>350</v>
      </c>
      <c r="B196" s="36" t="s">
        <v>351</v>
      </c>
      <c r="C196" s="95">
        <v>10000</v>
      </c>
      <c r="D196" s="115">
        <v>0</v>
      </c>
      <c r="E196" s="34">
        <v>0</v>
      </c>
      <c r="F196" s="34">
        <f>+D196+E196</f>
        <v>0</v>
      </c>
      <c r="G196" s="102">
        <v>0</v>
      </c>
      <c r="H196" s="102">
        <f>+F196+G196</f>
        <v>0</v>
      </c>
      <c r="I196" s="112"/>
      <c r="J196" s="112"/>
    </row>
    <row r="197" spans="1:10" s="19" customFormat="1" ht="15">
      <c r="A197" s="35" t="s">
        <v>352</v>
      </c>
      <c r="B197" s="36" t="s">
        <v>353</v>
      </c>
      <c r="C197" s="95">
        <v>280000</v>
      </c>
      <c r="D197" s="115">
        <v>0</v>
      </c>
      <c r="E197" s="34">
        <v>0</v>
      </c>
      <c r="F197" s="34">
        <f>+D197+E197</f>
        <v>0</v>
      </c>
      <c r="G197" s="102">
        <v>0</v>
      </c>
      <c r="H197" s="102">
        <f t="shared" ref="H197:H198" si="102">+F197+G197</f>
        <v>0</v>
      </c>
      <c r="I197" s="112"/>
      <c r="J197" s="112"/>
    </row>
    <row r="198" spans="1:10" s="19" customFormat="1" ht="15">
      <c r="A198" s="35" t="s">
        <v>354</v>
      </c>
      <c r="B198" s="36" t="s">
        <v>355</v>
      </c>
      <c r="C198" s="95">
        <v>35000</v>
      </c>
      <c r="D198" s="115">
        <v>0</v>
      </c>
      <c r="E198" s="34">
        <v>0</v>
      </c>
      <c r="F198" s="34">
        <f>+D198+E198</f>
        <v>0</v>
      </c>
      <c r="G198" s="102">
        <v>0</v>
      </c>
      <c r="H198" s="102">
        <f t="shared" si="102"/>
        <v>0</v>
      </c>
      <c r="I198" s="112"/>
      <c r="J198" s="112"/>
    </row>
    <row r="199" spans="1:10" s="25" customFormat="1" ht="25.5">
      <c r="A199" s="16" t="s">
        <v>356</v>
      </c>
      <c r="B199" s="16" t="s">
        <v>357</v>
      </c>
      <c r="C199" s="18">
        <f>+C200</f>
        <v>3200000</v>
      </c>
      <c r="D199" s="18">
        <f>+D200+D201+D202</f>
        <v>2254451.84</v>
      </c>
      <c r="E199" s="18">
        <f>+E200+E201+E202</f>
        <v>1843700</v>
      </c>
      <c r="F199" s="18">
        <f>+F200+F201+F202</f>
        <v>4339385.84</v>
      </c>
      <c r="G199" s="114">
        <f t="shared" ref="G199:H199" si="103">+G200+G201+G202</f>
        <v>216969.29200000002</v>
      </c>
      <c r="H199" s="114">
        <f t="shared" si="103"/>
        <v>4556355.1320000002</v>
      </c>
      <c r="I199" s="112"/>
      <c r="J199" s="112"/>
    </row>
    <row r="200" spans="1:10" s="19" customFormat="1" ht="15">
      <c r="A200" s="35" t="s">
        <v>358</v>
      </c>
      <c r="B200" s="36" t="s">
        <v>359</v>
      </c>
      <c r="C200" s="95">
        <v>3200000</v>
      </c>
      <c r="D200" s="115">
        <v>2253173</v>
      </c>
      <c r="E200" s="34">
        <v>1350000</v>
      </c>
      <c r="F200" s="34">
        <f>+D200+E200</f>
        <v>3603173</v>
      </c>
      <c r="G200" s="102">
        <f>+F200*0.05</f>
        <v>180158.65000000002</v>
      </c>
      <c r="H200" s="102">
        <f>+F200+G200</f>
        <v>3783331.65</v>
      </c>
      <c r="I200" s="112"/>
      <c r="J200" s="112"/>
    </row>
    <row r="201" spans="1:10" s="19" customFormat="1" ht="15">
      <c r="A201" s="140" t="s">
        <v>693</v>
      </c>
      <c r="B201" s="119" t="s">
        <v>694</v>
      </c>
      <c r="C201" s="95">
        <v>0</v>
      </c>
      <c r="D201" s="115">
        <v>1028.8399999999999</v>
      </c>
      <c r="E201" s="34">
        <v>374100</v>
      </c>
      <c r="F201" s="34">
        <v>526412.84</v>
      </c>
      <c r="G201" s="102">
        <f t="shared" ref="G201:G202" si="104">+F201*0.05</f>
        <v>26320.642</v>
      </c>
      <c r="H201" s="102">
        <f t="shared" ref="H201:H202" si="105">+F201+G201</f>
        <v>552733.48199999996</v>
      </c>
      <c r="I201" s="112"/>
      <c r="J201" s="112"/>
    </row>
    <row r="202" spans="1:10" s="19" customFormat="1" ht="15">
      <c r="A202" s="140" t="s">
        <v>696</v>
      </c>
      <c r="B202" s="119" t="s">
        <v>695</v>
      </c>
      <c r="C202" s="95">
        <v>0</v>
      </c>
      <c r="D202" s="115">
        <v>250</v>
      </c>
      <c r="E202" s="34">
        <f>69600+50000</f>
        <v>119600</v>
      </c>
      <c r="F202" s="34">
        <v>209800</v>
      </c>
      <c r="G202" s="102">
        <f t="shared" si="104"/>
        <v>10490</v>
      </c>
      <c r="H202" s="102">
        <f t="shared" si="105"/>
        <v>220290</v>
      </c>
      <c r="I202" s="112"/>
      <c r="J202" s="112"/>
    </row>
    <row r="203" spans="1:10" s="25" customFormat="1" ht="25.5">
      <c r="A203" s="16" t="s">
        <v>360</v>
      </c>
      <c r="B203" s="16" t="s">
        <v>361</v>
      </c>
      <c r="C203" s="18">
        <f>+C204</f>
        <v>12000000</v>
      </c>
      <c r="D203" s="18">
        <f>+D204</f>
        <v>11505021.84</v>
      </c>
      <c r="E203" s="18">
        <f>+E204</f>
        <v>6419565</v>
      </c>
      <c r="F203" s="18">
        <f>+F204</f>
        <v>17924586.84</v>
      </c>
      <c r="G203" s="114">
        <f t="shared" ref="G203:H203" si="106">+G204</f>
        <v>896229.34200000006</v>
      </c>
      <c r="H203" s="114">
        <f t="shared" si="106"/>
        <v>18820816.182</v>
      </c>
      <c r="I203" s="112"/>
      <c r="J203" s="112"/>
    </row>
    <row r="204" spans="1:10" s="19" customFormat="1" ht="15">
      <c r="A204" s="35" t="s">
        <v>362</v>
      </c>
      <c r="B204" s="36" t="s">
        <v>363</v>
      </c>
      <c r="C204" s="95">
        <v>12000000</v>
      </c>
      <c r="D204" s="115">
        <v>11505021.84</v>
      </c>
      <c r="E204" s="34">
        <v>6419565</v>
      </c>
      <c r="F204" s="34">
        <f>+D204+E204</f>
        <v>17924586.84</v>
      </c>
      <c r="G204" s="102">
        <f>+F204*0.05</f>
        <v>896229.34200000006</v>
      </c>
      <c r="H204" s="102">
        <f>+F204+G204</f>
        <v>18820816.182</v>
      </c>
      <c r="I204" s="112"/>
      <c r="J204" s="112"/>
    </row>
    <row r="205" spans="1:10" s="25" customFormat="1" ht="15">
      <c r="A205" s="16" t="s">
        <v>364</v>
      </c>
      <c r="B205" s="16" t="s">
        <v>365</v>
      </c>
      <c r="C205" s="18">
        <f>+C206+C207+C209+C208</f>
        <v>1130000</v>
      </c>
      <c r="D205" s="18">
        <f>+D206+D207+D209+D208</f>
        <v>4947623.6300000008</v>
      </c>
      <c r="E205" s="18">
        <f>+E206+E207+E209+E208</f>
        <v>3896148</v>
      </c>
      <c r="F205" s="18">
        <f>+F206+F207+F209+F208</f>
        <v>8843771.6300000008</v>
      </c>
      <c r="G205" s="114">
        <f t="shared" ref="G205:H205" si="107">+G206+G207+G209+G208</f>
        <v>442188.58149999997</v>
      </c>
      <c r="H205" s="114">
        <f t="shared" si="107"/>
        <v>9285960.2115000002</v>
      </c>
      <c r="I205" s="112"/>
      <c r="J205" s="112"/>
    </row>
    <row r="206" spans="1:10" s="19" customFormat="1" ht="15">
      <c r="A206" s="35" t="s">
        <v>366</v>
      </c>
      <c r="B206" s="36" t="s">
        <v>367</v>
      </c>
      <c r="C206" s="95">
        <v>650000</v>
      </c>
      <c r="D206" s="115">
        <v>782698.03</v>
      </c>
      <c r="E206" s="34">
        <v>334839</v>
      </c>
      <c r="F206" s="34">
        <f>+D206+E206</f>
        <v>1117537.03</v>
      </c>
      <c r="G206" s="102">
        <f>+F206*0.05</f>
        <v>55876.851500000004</v>
      </c>
      <c r="H206" s="102">
        <f>+F206+G206</f>
        <v>1173413.8815000001</v>
      </c>
      <c r="I206" s="112"/>
      <c r="J206" s="112"/>
    </row>
    <row r="207" spans="1:10" s="19" customFormat="1" ht="25.5">
      <c r="A207" s="35" t="s">
        <v>368</v>
      </c>
      <c r="B207" s="35" t="s">
        <v>369</v>
      </c>
      <c r="C207" s="95">
        <v>480000</v>
      </c>
      <c r="D207" s="115">
        <v>2400000</v>
      </c>
      <c r="E207" s="34">
        <v>1800000</v>
      </c>
      <c r="F207" s="34">
        <f t="shared" ref="F207:F209" si="108">+D207+E207</f>
        <v>4200000</v>
      </c>
      <c r="G207" s="102">
        <f t="shared" ref="G207:G210" si="109">+F207*0.05</f>
        <v>210000</v>
      </c>
      <c r="H207" s="102">
        <f t="shared" ref="H207:H209" si="110">+F207+G207</f>
        <v>4410000</v>
      </c>
      <c r="I207" s="112"/>
      <c r="J207" s="112"/>
    </row>
    <row r="208" spans="1:10" s="19" customFormat="1" ht="15">
      <c r="A208" s="124" t="s">
        <v>625</v>
      </c>
      <c r="B208" s="124" t="s">
        <v>626</v>
      </c>
      <c r="C208" s="95">
        <v>0</v>
      </c>
      <c r="D208" s="115">
        <v>1608925.6</v>
      </c>
      <c r="E208" s="34">
        <v>1293309</v>
      </c>
      <c r="F208" s="34">
        <f t="shared" si="108"/>
        <v>2902234.6</v>
      </c>
      <c r="G208" s="102">
        <f t="shared" si="109"/>
        <v>145111.73000000001</v>
      </c>
      <c r="H208" s="102">
        <f t="shared" si="110"/>
        <v>3047346.33</v>
      </c>
      <c r="I208" s="112"/>
      <c r="J208" s="112"/>
    </row>
    <row r="209" spans="1:10" s="19" customFormat="1" ht="15">
      <c r="A209" s="124" t="s">
        <v>628</v>
      </c>
      <c r="B209" s="124" t="s">
        <v>627</v>
      </c>
      <c r="C209" s="130">
        <v>0</v>
      </c>
      <c r="D209" s="95">
        <v>156000</v>
      </c>
      <c r="E209" s="34">
        <v>468000</v>
      </c>
      <c r="F209" s="34">
        <f t="shared" si="108"/>
        <v>624000</v>
      </c>
      <c r="G209" s="102">
        <f t="shared" si="109"/>
        <v>31200</v>
      </c>
      <c r="H209" s="102">
        <f t="shared" si="110"/>
        <v>655200</v>
      </c>
      <c r="I209" s="112"/>
      <c r="J209" s="112"/>
    </row>
    <row r="210" spans="1:10" s="25" customFormat="1" ht="15">
      <c r="A210" s="16" t="s">
        <v>370</v>
      </c>
      <c r="B210" s="17" t="s">
        <v>371</v>
      </c>
      <c r="C210" s="136">
        <v>11000</v>
      </c>
      <c r="D210" s="136">
        <v>3620.7</v>
      </c>
      <c r="E210" s="136">
        <f>D210/8*4</f>
        <v>1810.35</v>
      </c>
      <c r="F210" s="136">
        <f>+D210+E210</f>
        <v>5431.0499999999993</v>
      </c>
      <c r="G210" s="141">
        <f t="shared" si="109"/>
        <v>271.55249999999995</v>
      </c>
      <c r="H210" s="141">
        <f t="shared" ref="H210" si="111">+F210+G210</f>
        <v>5702.6024999999991</v>
      </c>
      <c r="I210" s="112"/>
      <c r="J210" s="112"/>
    </row>
    <row r="211" spans="1:10" s="19" customFormat="1" ht="15">
      <c r="A211" s="16" t="s">
        <v>372</v>
      </c>
      <c r="B211" s="17" t="s">
        <v>373</v>
      </c>
      <c r="C211" s="18">
        <f>+C212+C213+C214+C221+C222+C223+C224</f>
        <v>2117500</v>
      </c>
      <c r="D211" s="18">
        <f>+D212+D213+D214+D221+D222+D223+D224</f>
        <v>3192780.99</v>
      </c>
      <c r="E211" s="18">
        <f>+E212+E213+E214+E221+E222+E223+E224</f>
        <v>396463</v>
      </c>
      <c r="F211" s="18">
        <f>+F212+F213+F214+F221+F222+F223+F224</f>
        <v>3589243.99</v>
      </c>
      <c r="G211" s="114">
        <f t="shared" ref="G211:H211" si="112">+G212+G213+G214+G221+G222+G223+G224</f>
        <v>12241052.817</v>
      </c>
      <c r="H211" s="114">
        <f t="shared" si="112"/>
        <v>15830296.807</v>
      </c>
      <c r="I211" s="112"/>
      <c r="J211" s="112"/>
    </row>
    <row r="212" spans="1:10" s="19" customFormat="1" ht="15">
      <c r="A212" s="35" t="s">
        <v>374</v>
      </c>
      <c r="B212" s="36" t="s">
        <v>375</v>
      </c>
      <c r="C212" s="95">
        <v>100000</v>
      </c>
      <c r="D212" s="115">
        <v>200839.18</v>
      </c>
      <c r="E212" s="34">
        <v>167241</v>
      </c>
      <c r="F212" s="34">
        <f>+D212+E212</f>
        <v>368080.18</v>
      </c>
      <c r="G212" s="102">
        <f>+F212*0.05</f>
        <v>18404.009000000002</v>
      </c>
      <c r="H212" s="102">
        <f>+F212+G212</f>
        <v>386484.18900000001</v>
      </c>
      <c r="I212" s="112"/>
      <c r="J212" s="112"/>
    </row>
    <row r="213" spans="1:10" s="19" customFormat="1" ht="15">
      <c r="A213" s="35" t="s">
        <v>376</v>
      </c>
      <c r="B213" s="36" t="s">
        <v>377</v>
      </c>
      <c r="C213" s="95">
        <v>205000</v>
      </c>
      <c r="D213" s="115">
        <v>207414.46</v>
      </c>
      <c r="E213" s="34">
        <v>92674</v>
      </c>
      <c r="F213" s="34">
        <f>+D213+E213</f>
        <v>300088.45999999996</v>
      </c>
      <c r="G213" s="102">
        <f>+F213*0.05</f>
        <v>15004.422999999999</v>
      </c>
      <c r="H213" s="102">
        <f>+F213+G213</f>
        <v>315092.88299999997</v>
      </c>
      <c r="I213" s="112"/>
      <c r="J213" s="112"/>
    </row>
    <row r="214" spans="1:10" s="25" customFormat="1" ht="15">
      <c r="A214" s="16" t="s">
        <v>378</v>
      </c>
      <c r="B214" s="17" t="s">
        <v>379</v>
      </c>
      <c r="C214" s="18">
        <f>SUBTOTAL(9,C215:C220)</f>
        <v>1650000</v>
      </c>
      <c r="D214" s="18">
        <f>SUBTOTAL(9,D215:D220)</f>
        <v>2784527.35</v>
      </c>
      <c r="E214" s="18">
        <f>SUBTOTAL(9,E215:E220)</f>
        <v>136548</v>
      </c>
      <c r="F214" s="18">
        <f>SUBTOTAL(9,F215:F220)</f>
        <v>2921075.35</v>
      </c>
      <c r="G214" s="18">
        <f t="shared" ref="G214:H214" si="113">SUBTOTAL(9,G215:G220)</f>
        <v>12203644.385</v>
      </c>
      <c r="H214" s="114">
        <f t="shared" si="113"/>
        <v>15124719.734999999</v>
      </c>
      <c r="I214" s="112"/>
      <c r="J214" s="112"/>
    </row>
    <row r="215" spans="1:10" s="19" customFormat="1" ht="15">
      <c r="A215" s="35" t="s">
        <v>380</v>
      </c>
      <c r="B215" s="36" t="s">
        <v>381</v>
      </c>
      <c r="C215" s="95">
        <v>200000</v>
      </c>
      <c r="D215" s="95">
        <v>8620.7000000000007</v>
      </c>
      <c r="E215" s="34">
        <v>25860</v>
      </c>
      <c r="F215" s="34">
        <f t="shared" ref="F215:F223" si="114">+D215+E215</f>
        <v>34480.699999999997</v>
      </c>
      <c r="G215" s="102">
        <f>+F215*0.05</f>
        <v>1724.0349999999999</v>
      </c>
      <c r="H215" s="102">
        <f>+F215+G215</f>
        <v>36204.735000000001</v>
      </c>
      <c r="I215" s="112"/>
      <c r="J215" s="112"/>
    </row>
    <row r="216" spans="1:10" s="19" customFormat="1" ht="15">
      <c r="A216" s="35" t="s">
        <v>382</v>
      </c>
      <c r="B216" s="36" t="s">
        <v>383</v>
      </c>
      <c r="C216" s="95">
        <v>100000</v>
      </c>
      <c r="D216" s="95">
        <v>0</v>
      </c>
      <c r="E216" s="34">
        <f>+D216/8*4</f>
        <v>0</v>
      </c>
      <c r="F216" s="34">
        <f t="shared" si="114"/>
        <v>0</v>
      </c>
      <c r="G216" s="102">
        <f t="shared" ref="G216:G223" si="115">+F216*0.05</f>
        <v>0</v>
      </c>
      <c r="H216" s="102">
        <f t="shared" ref="H216:H219" si="116">+F216+G216</f>
        <v>0</v>
      </c>
      <c r="I216" s="112"/>
      <c r="J216" s="112"/>
    </row>
    <row r="217" spans="1:10" s="19" customFormat="1" ht="15">
      <c r="A217" s="35" t="s">
        <v>384</v>
      </c>
      <c r="B217" s="36" t="s">
        <v>385</v>
      </c>
      <c r="C217" s="95">
        <v>200000</v>
      </c>
      <c r="D217" s="95">
        <v>0</v>
      </c>
      <c r="E217" s="34">
        <v>0</v>
      </c>
      <c r="F217" s="34">
        <f t="shared" si="114"/>
        <v>0</v>
      </c>
      <c r="G217" s="102">
        <f t="shared" si="115"/>
        <v>0</v>
      </c>
      <c r="H217" s="102">
        <f t="shared" si="116"/>
        <v>0</v>
      </c>
      <c r="I217" s="112"/>
      <c r="J217" s="112"/>
    </row>
    <row r="218" spans="1:10" s="19" customFormat="1" ht="15">
      <c r="A218" s="35" t="s">
        <v>386</v>
      </c>
      <c r="B218" s="36" t="s">
        <v>387</v>
      </c>
      <c r="C218" s="95">
        <v>350000</v>
      </c>
      <c r="D218" s="95">
        <v>0</v>
      </c>
      <c r="E218" s="34">
        <f>+D218/8*4</f>
        <v>0</v>
      </c>
      <c r="F218" s="34">
        <f t="shared" si="114"/>
        <v>0</v>
      </c>
      <c r="G218" s="102">
        <f t="shared" si="115"/>
        <v>0</v>
      </c>
      <c r="H218" s="102">
        <f t="shared" si="116"/>
        <v>0</v>
      </c>
      <c r="I218" s="112"/>
      <c r="J218" s="112"/>
    </row>
    <row r="219" spans="1:10" s="19" customFormat="1" ht="15">
      <c r="A219" s="35" t="s">
        <v>388</v>
      </c>
      <c r="B219" s="36" t="s">
        <v>389</v>
      </c>
      <c r="C219" s="130">
        <v>0</v>
      </c>
      <c r="D219" s="115">
        <v>24300</v>
      </c>
      <c r="E219" s="34">
        <v>60000</v>
      </c>
      <c r="F219" s="34">
        <f t="shared" si="114"/>
        <v>84300</v>
      </c>
      <c r="G219" s="102">
        <f t="shared" si="115"/>
        <v>4215</v>
      </c>
      <c r="H219" s="102">
        <f t="shared" si="116"/>
        <v>88515</v>
      </c>
      <c r="I219" s="112"/>
      <c r="J219" s="112"/>
    </row>
    <row r="220" spans="1:10" s="19" customFormat="1" ht="15">
      <c r="A220" s="35" t="s">
        <v>390</v>
      </c>
      <c r="B220" s="36" t="s">
        <v>391</v>
      </c>
      <c r="C220" s="95">
        <v>800000</v>
      </c>
      <c r="D220" s="115">
        <v>2751606.65</v>
      </c>
      <c r="E220" s="34">
        <v>50688</v>
      </c>
      <c r="F220" s="34">
        <f t="shared" si="114"/>
        <v>2802294.65</v>
      </c>
      <c r="G220" s="102">
        <f>+H220-F220</f>
        <v>12197705.35</v>
      </c>
      <c r="H220" s="102">
        <v>15000000</v>
      </c>
      <c r="I220" s="112"/>
      <c r="J220" s="112"/>
    </row>
    <row r="221" spans="1:10" s="25" customFormat="1" ht="38.25" hidden="1">
      <c r="A221" s="16" t="s">
        <v>392</v>
      </c>
      <c r="B221" s="16" t="s">
        <v>393</v>
      </c>
      <c r="C221" s="95">
        <v>2300</v>
      </c>
      <c r="D221" s="18">
        <v>0</v>
      </c>
      <c r="E221" s="136">
        <f t="shared" ref="E221:E222" si="117">+D221/8*4</f>
        <v>0</v>
      </c>
      <c r="F221" s="136">
        <f t="shared" si="114"/>
        <v>0</v>
      </c>
      <c r="G221" s="102">
        <f t="shared" si="115"/>
        <v>0</v>
      </c>
      <c r="H221" s="102">
        <f t="shared" ref="H221:H223" si="118">+F221+G221</f>
        <v>0</v>
      </c>
      <c r="I221" s="112"/>
      <c r="J221" s="112"/>
    </row>
    <row r="222" spans="1:10" s="25" customFormat="1" ht="25.5" hidden="1">
      <c r="A222" s="16" t="s">
        <v>394</v>
      </c>
      <c r="B222" s="16" t="s">
        <v>395</v>
      </c>
      <c r="C222" s="95">
        <v>84000</v>
      </c>
      <c r="D222" s="18">
        <v>0</v>
      </c>
      <c r="E222" s="136">
        <f t="shared" si="117"/>
        <v>0</v>
      </c>
      <c r="F222" s="136">
        <f t="shared" si="114"/>
        <v>0</v>
      </c>
      <c r="G222" s="102">
        <f t="shared" si="115"/>
        <v>0</v>
      </c>
      <c r="H222" s="102">
        <f t="shared" si="118"/>
        <v>0</v>
      </c>
      <c r="I222" s="112"/>
      <c r="J222" s="112"/>
    </row>
    <row r="223" spans="1:10" s="25" customFormat="1" ht="25.5" hidden="1">
      <c r="A223" s="16" t="s">
        <v>396</v>
      </c>
      <c r="B223" s="16" t="s">
        <v>397</v>
      </c>
      <c r="C223" s="95">
        <v>3200</v>
      </c>
      <c r="D223" s="18">
        <v>0</v>
      </c>
      <c r="E223" s="136">
        <f>+D223/8*4</f>
        <v>0</v>
      </c>
      <c r="F223" s="136">
        <f t="shared" si="114"/>
        <v>0</v>
      </c>
      <c r="G223" s="102">
        <f t="shared" si="115"/>
        <v>0</v>
      </c>
      <c r="H223" s="102">
        <f t="shared" si="118"/>
        <v>0</v>
      </c>
      <c r="I223" s="112"/>
      <c r="J223" s="112"/>
    </row>
    <row r="224" spans="1:10" s="25" customFormat="1" ht="15">
      <c r="A224" s="16" t="s">
        <v>398</v>
      </c>
      <c r="B224" s="17" t="s">
        <v>399</v>
      </c>
      <c r="C224" s="18">
        <f>+C225+C226</f>
        <v>73000</v>
      </c>
      <c r="D224" s="18">
        <f>+D225+D226</f>
        <v>0</v>
      </c>
      <c r="E224" s="18">
        <f>+E225+E226</f>
        <v>0</v>
      </c>
      <c r="F224" s="18">
        <f>+F225+F226</f>
        <v>0</v>
      </c>
      <c r="G224" s="18">
        <f t="shared" ref="G224:H224" si="119">+G225+G226</f>
        <v>4000</v>
      </c>
      <c r="H224" s="114">
        <f t="shared" si="119"/>
        <v>4000</v>
      </c>
      <c r="I224" s="112"/>
      <c r="J224" s="112"/>
    </row>
    <row r="225" spans="1:10" s="19" customFormat="1" ht="15">
      <c r="A225" s="35" t="s">
        <v>400</v>
      </c>
      <c r="B225" s="36" t="s">
        <v>401</v>
      </c>
      <c r="C225" s="95">
        <v>53000</v>
      </c>
      <c r="D225" s="95">
        <v>0</v>
      </c>
      <c r="E225" s="34">
        <f>D225/8*4</f>
        <v>0</v>
      </c>
      <c r="F225" s="34">
        <f>+D225+E225</f>
        <v>0</v>
      </c>
      <c r="G225" s="102">
        <f>+H225-F225</f>
        <v>2500</v>
      </c>
      <c r="H225" s="102">
        <v>2500</v>
      </c>
      <c r="I225" s="112"/>
      <c r="J225" s="112"/>
    </row>
    <row r="226" spans="1:10" s="19" customFormat="1" ht="15">
      <c r="A226" s="35" t="s">
        <v>402</v>
      </c>
      <c r="B226" s="36" t="s">
        <v>399</v>
      </c>
      <c r="C226" s="95">
        <v>20000</v>
      </c>
      <c r="D226" s="95">
        <v>0</v>
      </c>
      <c r="E226" s="34">
        <f>D226/8*4</f>
        <v>0</v>
      </c>
      <c r="F226" s="34">
        <f>+D226+E226</f>
        <v>0</v>
      </c>
      <c r="G226" s="102">
        <f>+H226-F226</f>
        <v>1500</v>
      </c>
      <c r="H226" s="102">
        <v>1500</v>
      </c>
      <c r="I226" s="112"/>
      <c r="J226" s="112"/>
    </row>
    <row r="227" spans="1:10" s="19" customFormat="1" ht="15">
      <c r="A227" s="16" t="s">
        <v>403</v>
      </c>
      <c r="B227" s="17" t="s">
        <v>404</v>
      </c>
      <c r="C227" s="18">
        <f>+C228+C229+C230+C232</f>
        <v>203000</v>
      </c>
      <c r="D227" s="18">
        <f>+D228+D229+D230+D232</f>
        <v>484502.13</v>
      </c>
      <c r="E227" s="18">
        <f>+E228+E229+E230+E232</f>
        <v>381651</v>
      </c>
      <c r="F227" s="18">
        <f>+F228+F229+F230+F232</f>
        <v>896123.15</v>
      </c>
      <c r="G227" s="114">
        <f t="shared" ref="G227:H227" si="120">+G228+G229+G230+G232</f>
        <v>44806.157500000001</v>
      </c>
      <c r="H227" s="114">
        <f t="shared" si="120"/>
        <v>940929.30749999988</v>
      </c>
      <c r="I227" s="112"/>
      <c r="J227" s="112"/>
    </row>
    <row r="228" spans="1:10" s="19" customFormat="1" ht="15">
      <c r="A228" s="35" t="s">
        <v>405</v>
      </c>
      <c r="B228" s="36" t="s">
        <v>406</v>
      </c>
      <c r="C228" s="95">
        <v>53000</v>
      </c>
      <c r="D228" s="115">
        <v>12216.38</v>
      </c>
      <c r="E228" s="34">
        <v>10000</v>
      </c>
      <c r="F228" s="34">
        <f>+D228+E228</f>
        <v>22216.379999999997</v>
      </c>
      <c r="G228" s="102">
        <f>+F228*5%</f>
        <v>1110.819</v>
      </c>
      <c r="H228" s="102">
        <f>+F228+G228</f>
        <v>23327.198999999997</v>
      </c>
      <c r="I228" s="112"/>
      <c r="J228" s="112"/>
    </row>
    <row r="229" spans="1:10" s="19" customFormat="1" ht="15">
      <c r="A229" s="35" t="s">
        <v>407</v>
      </c>
      <c r="B229" s="36" t="s">
        <v>408</v>
      </c>
      <c r="C229" s="95">
        <v>50000</v>
      </c>
      <c r="D229" s="115">
        <v>11335.77</v>
      </c>
      <c r="E229" s="34">
        <v>6000</v>
      </c>
      <c r="F229" s="34">
        <f>+D229+E229</f>
        <v>17335.77</v>
      </c>
      <c r="G229" s="102">
        <f>+F229*5%</f>
        <v>866.78850000000011</v>
      </c>
      <c r="H229" s="102">
        <f>+F229+G229</f>
        <v>18202.558499999999</v>
      </c>
      <c r="I229" s="112"/>
      <c r="J229" s="112"/>
    </row>
    <row r="230" spans="1:10" s="19" customFormat="1" ht="15">
      <c r="A230" s="16" t="s">
        <v>409</v>
      </c>
      <c r="B230" s="17" t="s">
        <v>410</v>
      </c>
      <c r="C230" s="18">
        <f>+C231</f>
        <v>100000</v>
      </c>
      <c r="D230" s="18">
        <f>+D231</f>
        <v>460237.98</v>
      </c>
      <c r="E230" s="18">
        <f>+E231</f>
        <v>364851</v>
      </c>
      <c r="F230" s="18">
        <f>+F231</f>
        <v>855059</v>
      </c>
      <c r="G230" s="114">
        <f t="shared" ref="G230:H230" si="121">+G231</f>
        <v>42752.950000000004</v>
      </c>
      <c r="H230" s="114">
        <f t="shared" si="121"/>
        <v>897811.95</v>
      </c>
      <c r="I230" s="112"/>
      <c r="J230" s="112"/>
    </row>
    <row r="231" spans="1:10" s="19" customFormat="1" ht="15">
      <c r="A231" s="35" t="s">
        <v>411</v>
      </c>
      <c r="B231" s="36" t="s">
        <v>412</v>
      </c>
      <c r="C231" s="95">
        <v>100000</v>
      </c>
      <c r="D231" s="115">
        <v>460237.98</v>
      </c>
      <c r="E231" s="34">
        <v>364851</v>
      </c>
      <c r="F231" s="34">
        <v>855059</v>
      </c>
      <c r="G231" s="102">
        <f>+F231*5%</f>
        <v>42752.950000000004</v>
      </c>
      <c r="H231" s="102">
        <f>+F231+G231</f>
        <v>897811.95</v>
      </c>
      <c r="I231" s="112"/>
      <c r="J231" s="112"/>
    </row>
    <row r="232" spans="1:10" s="19" customFormat="1" ht="15">
      <c r="A232" s="16" t="s">
        <v>413</v>
      </c>
      <c r="B232" s="17" t="s">
        <v>414</v>
      </c>
      <c r="C232" s="18">
        <f>+C233</f>
        <v>0</v>
      </c>
      <c r="D232" s="18">
        <f>+D233</f>
        <v>712</v>
      </c>
      <c r="E232" s="18">
        <f>+E233</f>
        <v>800</v>
      </c>
      <c r="F232" s="18">
        <f>+F233</f>
        <v>1512</v>
      </c>
      <c r="G232" s="18">
        <f t="shared" ref="G232:H232" si="122">+G233</f>
        <v>75.600000000000009</v>
      </c>
      <c r="H232" s="114">
        <f t="shared" si="122"/>
        <v>1587.6</v>
      </c>
      <c r="I232" s="112"/>
      <c r="J232" s="112"/>
    </row>
    <row r="233" spans="1:10" s="19" customFormat="1" ht="15">
      <c r="A233" s="16" t="s">
        <v>415</v>
      </c>
      <c r="B233" s="17" t="s">
        <v>416</v>
      </c>
      <c r="C233" s="127">
        <v>0</v>
      </c>
      <c r="D233" s="115">
        <v>712</v>
      </c>
      <c r="E233" s="34">
        <v>800</v>
      </c>
      <c r="F233" s="34">
        <f>+D233+E233</f>
        <v>1512</v>
      </c>
      <c r="G233" s="102">
        <f>+F233*5%</f>
        <v>75.600000000000009</v>
      </c>
      <c r="H233" s="102">
        <f>+F233+G233</f>
        <v>1587.6</v>
      </c>
      <c r="I233" s="112"/>
      <c r="J233" s="112"/>
    </row>
    <row r="234" spans="1:10" s="25" customFormat="1" ht="15">
      <c r="A234" s="16" t="s">
        <v>417</v>
      </c>
      <c r="B234" s="17" t="s">
        <v>418</v>
      </c>
      <c r="C234" s="18">
        <f>+C235+C238+C239</f>
        <v>250000</v>
      </c>
      <c r="D234" s="18">
        <f>+D235+D238+D239</f>
        <v>56369</v>
      </c>
      <c r="E234" s="18">
        <f>+E235+E238+E239</f>
        <v>23850</v>
      </c>
      <c r="F234" s="18">
        <f>+F235+F238+F239</f>
        <v>80219</v>
      </c>
      <c r="G234" s="114">
        <f t="shared" ref="G234:H234" si="123">+G235+G238+G239</f>
        <v>159010.95000000001</v>
      </c>
      <c r="H234" s="114">
        <f t="shared" si="123"/>
        <v>239229.95</v>
      </c>
      <c r="I234" s="112"/>
      <c r="J234" s="112"/>
    </row>
    <row r="235" spans="1:10" s="25" customFormat="1" ht="15">
      <c r="A235" s="16" t="s">
        <v>419</v>
      </c>
      <c r="B235" s="17" t="s">
        <v>420</v>
      </c>
      <c r="C235" s="18">
        <f t="shared" ref="C235:H235" si="124">+C236+C237</f>
        <v>90000</v>
      </c>
      <c r="D235" s="18">
        <f t="shared" si="124"/>
        <v>0</v>
      </c>
      <c r="E235" s="18">
        <f t="shared" si="124"/>
        <v>0</v>
      </c>
      <c r="F235" s="18">
        <f t="shared" si="124"/>
        <v>0</v>
      </c>
      <c r="G235" s="18">
        <f t="shared" si="124"/>
        <v>155000</v>
      </c>
      <c r="H235" s="114">
        <f t="shared" si="124"/>
        <v>155000</v>
      </c>
      <c r="I235" s="112"/>
      <c r="J235" s="112"/>
    </row>
    <row r="236" spans="1:10" s="19" customFormat="1" ht="15">
      <c r="A236" s="35" t="s">
        <v>421</v>
      </c>
      <c r="B236" s="36" t="s">
        <v>422</v>
      </c>
      <c r="C236" s="95">
        <v>50000</v>
      </c>
      <c r="D236" s="130">
        <v>0</v>
      </c>
      <c r="E236" s="34">
        <v>0</v>
      </c>
      <c r="F236" s="34">
        <f>+D236+E236</f>
        <v>0</v>
      </c>
      <c r="G236" s="102">
        <f>+H236-F236</f>
        <v>115000</v>
      </c>
      <c r="H236" s="117">
        <v>115000</v>
      </c>
      <c r="I236" s="112"/>
      <c r="J236" s="112"/>
    </row>
    <row r="237" spans="1:10" s="19" customFormat="1" ht="15">
      <c r="A237" s="35" t="s">
        <v>423</v>
      </c>
      <c r="B237" s="36" t="s">
        <v>424</v>
      </c>
      <c r="C237" s="95">
        <v>40000</v>
      </c>
      <c r="D237" s="130">
        <v>0</v>
      </c>
      <c r="E237" s="34">
        <f>D237/8*4</f>
        <v>0</v>
      </c>
      <c r="F237" s="34">
        <f>+D237+E237</f>
        <v>0</v>
      </c>
      <c r="G237" s="102">
        <v>40000</v>
      </c>
      <c r="H237" s="102">
        <v>40000</v>
      </c>
      <c r="I237" s="112"/>
      <c r="J237" s="112"/>
    </row>
    <row r="238" spans="1:10" s="25" customFormat="1" ht="15">
      <c r="A238" s="16" t="s">
        <v>425</v>
      </c>
      <c r="B238" s="17" t="s">
        <v>426</v>
      </c>
      <c r="C238" s="95">
        <v>90000</v>
      </c>
      <c r="D238" s="95">
        <v>15000</v>
      </c>
      <c r="E238" s="136">
        <f>+D238/8*4</f>
        <v>7500</v>
      </c>
      <c r="F238" s="136">
        <f>+D238+E238</f>
        <v>22500</v>
      </c>
      <c r="G238" s="102">
        <f>+F238*5%</f>
        <v>1125</v>
      </c>
      <c r="H238" s="102">
        <f>+F238+G238</f>
        <v>23625</v>
      </c>
      <c r="I238" s="112"/>
      <c r="J238" s="112"/>
    </row>
    <row r="239" spans="1:10" s="25" customFormat="1" ht="15">
      <c r="A239" s="16" t="s">
        <v>427</v>
      </c>
      <c r="B239" s="17" t="s">
        <v>428</v>
      </c>
      <c r="C239" s="18">
        <f>+C240</f>
        <v>70000</v>
      </c>
      <c r="D239" s="18">
        <f>+D240</f>
        <v>41369</v>
      </c>
      <c r="E239" s="18">
        <f>+E240</f>
        <v>16350</v>
      </c>
      <c r="F239" s="18">
        <f>+F240</f>
        <v>57719</v>
      </c>
      <c r="G239" s="18">
        <f t="shared" ref="G239:H239" si="125">+G240</f>
        <v>2885.9500000000003</v>
      </c>
      <c r="H239" s="114">
        <f t="shared" si="125"/>
        <v>60604.95</v>
      </c>
      <c r="I239" s="112"/>
      <c r="J239" s="112"/>
    </row>
    <row r="240" spans="1:10" s="19" customFormat="1" ht="15">
      <c r="A240" s="35" t="s">
        <v>429</v>
      </c>
      <c r="B240" s="36" t="s">
        <v>430</v>
      </c>
      <c r="C240" s="95">
        <v>70000</v>
      </c>
      <c r="D240" s="115">
        <v>41369</v>
      </c>
      <c r="E240" s="34">
        <v>16350</v>
      </c>
      <c r="F240" s="34">
        <f>+D240+E240</f>
        <v>57719</v>
      </c>
      <c r="G240" s="102">
        <f>+F240*0.05</f>
        <v>2885.9500000000003</v>
      </c>
      <c r="H240" s="102">
        <f>+F240+G240</f>
        <v>60604.95</v>
      </c>
      <c r="I240" s="112"/>
      <c r="J240" s="112"/>
    </row>
    <row r="241" spans="1:10" s="25" customFormat="1" ht="15">
      <c r="A241" s="16" t="s">
        <v>431</v>
      </c>
      <c r="B241" s="17" t="s">
        <v>432</v>
      </c>
      <c r="C241" s="18">
        <f>+C242+C244+C251+C273+C278+C279+C281</f>
        <v>413711500</v>
      </c>
      <c r="D241" s="18">
        <f>+D242+D244+D251+D273+D278+D279+D281</f>
        <v>201542303.56</v>
      </c>
      <c r="E241" s="18">
        <f>+E242+E244+E251+E273+E278+E279+E281</f>
        <v>94727181.394999996</v>
      </c>
      <c r="F241" s="18">
        <f>+F242+F244+F251+F273+F278+F279+F281</f>
        <v>297791177.90500003</v>
      </c>
      <c r="G241" s="114">
        <f t="shared" ref="G241:H241" si="126">+G242+G244+G251+G273+G278+G279+G281</f>
        <v>79269018.414999992</v>
      </c>
      <c r="H241" s="114">
        <f t="shared" si="126"/>
        <v>377060196.31999993</v>
      </c>
      <c r="I241" s="112"/>
      <c r="J241" s="112"/>
    </row>
    <row r="242" spans="1:10" s="25" customFormat="1" ht="15">
      <c r="A242" s="16" t="s">
        <v>433</v>
      </c>
      <c r="B242" s="17" t="s">
        <v>434</v>
      </c>
      <c r="C242" s="18">
        <f>+C243</f>
        <v>93000</v>
      </c>
      <c r="D242" s="18">
        <f>+D243</f>
        <v>60250</v>
      </c>
      <c r="E242" s="18">
        <f>+E243</f>
        <v>38300</v>
      </c>
      <c r="F242" s="18">
        <f>+F243</f>
        <v>98550</v>
      </c>
      <c r="G242" s="18">
        <f t="shared" ref="G242:H242" si="127">+G243</f>
        <v>4927.5</v>
      </c>
      <c r="H242" s="114">
        <f t="shared" si="127"/>
        <v>103477.5</v>
      </c>
      <c r="I242" s="112"/>
      <c r="J242" s="112"/>
    </row>
    <row r="243" spans="1:10" s="19" customFormat="1" ht="15">
      <c r="A243" s="35" t="s">
        <v>435</v>
      </c>
      <c r="B243" s="36" t="s">
        <v>434</v>
      </c>
      <c r="C243" s="95">
        <v>93000</v>
      </c>
      <c r="D243" s="115">
        <v>60250</v>
      </c>
      <c r="E243" s="34">
        <v>38300</v>
      </c>
      <c r="F243" s="34">
        <f>+D243+E243</f>
        <v>98550</v>
      </c>
      <c r="G243" s="102">
        <f>+F243*0.05</f>
        <v>4927.5</v>
      </c>
      <c r="H243" s="102">
        <f>+F243+G243</f>
        <v>103477.5</v>
      </c>
      <c r="I243" s="112"/>
      <c r="J243" s="112"/>
    </row>
    <row r="244" spans="1:10" s="25" customFormat="1" ht="15">
      <c r="A244" s="16" t="s">
        <v>436</v>
      </c>
      <c r="B244" s="17" t="s">
        <v>437</v>
      </c>
      <c r="C244" s="18">
        <f>+C245+C249</f>
        <v>70453500</v>
      </c>
      <c r="D244" s="18">
        <f>+D245+D249</f>
        <v>49665853.740000002</v>
      </c>
      <c r="E244" s="18">
        <f>+E245+E249</f>
        <v>18079344</v>
      </c>
      <c r="F244" s="18">
        <f>+F245+F249</f>
        <v>67745197.74000001</v>
      </c>
      <c r="G244" s="114">
        <f t="shared" ref="G244:H244" si="128">+G245+G249</f>
        <v>15050216.720499996</v>
      </c>
      <c r="H244" s="114">
        <f t="shared" si="128"/>
        <v>82795414.460500002</v>
      </c>
      <c r="I244" s="112"/>
      <c r="J244" s="112"/>
    </row>
    <row r="245" spans="1:10" s="25" customFormat="1" ht="15">
      <c r="A245" s="16" t="s">
        <v>438</v>
      </c>
      <c r="B245" s="17" t="s">
        <v>437</v>
      </c>
      <c r="C245" s="18">
        <f>C246+C247+C248</f>
        <v>70093500</v>
      </c>
      <c r="D245" s="18">
        <f>D246+D247+D248</f>
        <v>49416469.740000002</v>
      </c>
      <c r="E245" s="18">
        <f>+E246+E247+E248</f>
        <v>18076344</v>
      </c>
      <c r="F245" s="18">
        <f>+F246+F247+F248</f>
        <v>67492813.74000001</v>
      </c>
      <c r="G245" s="114">
        <f t="shared" ref="G245:H245" si="129">+G246+G247+G248</f>
        <v>14794832.720499996</v>
      </c>
      <c r="H245" s="114">
        <f t="shared" si="129"/>
        <v>82287646.460500002</v>
      </c>
      <c r="I245" s="112"/>
      <c r="J245" s="112"/>
    </row>
    <row r="246" spans="1:10" s="19" customFormat="1" ht="15">
      <c r="A246" s="35" t="s">
        <v>439</v>
      </c>
      <c r="B246" s="36" t="s">
        <v>440</v>
      </c>
      <c r="C246" s="95">
        <v>50000000</v>
      </c>
      <c r="D246" s="115">
        <v>36259232.740000002</v>
      </c>
      <c r="E246" s="115">
        <v>12848553</v>
      </c>
      <c r="F246" s="34">
        <f>+D246+E246</f>
        <v>49107785.740000002</v>
      </c>
      <c r="G246" s="102">
        <f>+H246-F246</f>
        <v>3274257.2599999979</v>
      </c>
      <c r="H246" s="117">
        <v>52382043</v>
      </c>
      <c r="I246" s="112"/>
      <c r="J246" s="112"/>
    </row>
    <row r="247" spans="1:10" s="19" customFormat="1" ht="15">
      <c r="A247" s="35" t="s">
        <v>441</v>
      </c>
      <c r="B247" s="36" t="s">
        <v>442</v>
      </c>
      <c r="C247" s="95">
        <v>20000000</v>
      </c>
      <c r="D247" s="115">
        <v>13135207.99</v>
      </c>
      <c r="E247" s="34">
        <v>5223291</v>
      </c>
      <c r="F247" s="34">
        <f>+D247+E247</f>
        <v>18358498.990000002</v>
      </c>
      <c r="G247" s="102">
        <f>+H247-F247</f>
        <v>11519249.009999998</v>
      </c>
      <c r="H247" s="117">
        <v>29877748</v>
      </c>
      <c r="I247" s="112"/>
      <c r="J247" s="112"/>
    </row>
    <row r="248" spans="1:10" s="19" customFormat="1" ht="15">
      <c r="A248" s="35" t="s">
        <v>443</v>
      </c>
      <c r="B248" s="36" t="s">
        <v>444</v>
      </c>
      <c r="C248" s="95">
        <v>93500</v>
      </c>
      <c r="D248" s="115">
        <v>22029.01</v>
      </c>
      <c r="E248" s="34">
        <v>4500</v>
      </c>
      <c r="F248" s="34">
        <f>+D248+E248</f>
        <v>26529.01</v>
      </c>
      <c r="G248" s="102">
        <f>+F248*5%</f>
        <v>1326.4504999999999</v>
      </c>
      <c r="H248" s="102">
        <f>+F248+G248</f>
        <v>27855.460499999997</v>
      </c>
      <c r="I248" s="112"/>
      <c r="J248" s="112"/>
    </row>
    <row r="249" spans="1:10" s="19" customFormat="1" ht="15">
      <c r="A249" s="35" t="s">
        <v>445</v>
      </c>
      <c r="B249" s="35" t="s">
        <v>446</v>
      </c>
      <c r="C249" s="136">
        <v>360000</v>
      </c>
      <c r="D249" s="136">
        <f>D250</f>
        <v>249384</v>
      </c>
      <c r="E249" s="18">
        <f>+E250</f>
        <v>3000</v>
      </c>
      <c r="F249" s="136">
        <f t="shared" ref="F249:F272" si="130">+D249+E249</f>
        <v>252384</v>
      </c>
      <c r="G249" s="136">
        <f>+H249-F249</f>
        <v>255384</v>
      </c>
      <c r="H249" s="141">
        <f>+H250</f>
        <v>507768</v>
      </c>
      <c r="I249" s="112"/>
      <c r="J249" s="112"/>
    </row>
    <row r="250" spans="1:10" s="19" customFormat="1" ht="15">
      <c r="A250" s="35" t="s">
        <v>447</v>
      </c>
      <c r="B250" s="36" t="s">
        <v>448</v>
      </c>
      <c r="C250" s="95">
        <v>360000</v>
      </c>
      <c r="D250" s="115">
        <v>249384</v>
      </c>
      <c r="E250" s="34">
        <v>3000</v>
      </c>
      <c r="F250" s="34">
        <v>259384</v>
      </c>
      <c r="G250" s="102">
        <f>+H250-F250</f>
        <v>248384</v>
      </c>
      <c r="H250" s="102">
        <v>507768</v>
      </c>
      <c r="I250" s="112"/>
      <c r="J250" s="112"/>
    </row>
    <row r="251" spans="1:10" s="25" customFormat="1" ht="25.5">
      <c r="A251" s="16" t="s">
        <v>449</v>
      </c>
      <c r="B251" s="16" t="s">
        <v>450</v>
      </c>
      <c r="C251" s="18">
        <f>+C252+C263+C264+C265+C266+C267+C268+C269</f>
        <v>4003000</v>
      </c>
      <c r="D251" s="18">
        <f>+D252+D263+D264+D265+D266+D267+D268+D269</f>
        <v>1399245.6099999999</v>
      </c>
      <c r="E251" s="18">
        <f>+E252+E263+E264+E265+E266+E267+E268+E269</f>
        <v>2150894.895</v>
      </c>
      <c r="F251" s="18">
        <f>+F252+F263+F264+F265+F266+F267+F268+F269</f>
        <v>3550140.5049999999</v>
      </c>
      <c r="G251" s="114">
        <f>+H251-F251</f>
        <v>449859.49500000011</v>
      </c>
      <c r="H251" s="114">
        <v>4000000</v>
      </c>
      <c r="I251" s="112"/>
      <c r="J251" s="112"/>
    </row>
    <row r="252" spans="1:10" s="19" customFormat="1" ht="0.75" customHeight="1">
      <c r="A252" s="35" t="s">
        <v>451</v>
      </c>
      <c r="B252" s="76" t="s">
        <v>452</v>
      </c>
      <c r="C252" s="95">
        <v>4000000</v>
      </c>
      <c r="D252" s="115">
        <v>0</v>
      </c>
      <c r="E252" s="34">
        <f>D252/8*4</f>
        <v>0</v>
      </c>
      <c r="F252" s="34">
        <f t="shared" si="130"/>
        <v>0</v>
      </c>
      <c r="G252" s="102"/>
      <c r="H252" s="102"/>
      <c r="I252" s="112"/>
      <c r="J252" s="112"/>
    </row>
    <row r="253" spans="1:10" s="19" customFormat="1" ht="15" hidden="1">
      <c r="A253" s="35" t="s">
        <v>453</v>
      </c>
      <c r="B253" s="36" t="s">
        <v>454</v>
      </c>
      <c r="C253" s="130">
        <v>0</v>
      </c>
      <c r="D253" s="115">
        <v>94400.98</v>
      </c>
      <c r="E253" s="34">
        <f>+D253/8*4</f>
        <v>47200.49</v>
      </c>
      <c r="F253" s="34">
        <f t="shared" si="130"/>
        <v>141601.47</v>
      </c>
      <c r="G253" s="102"/>
      <c r="H253" s="102"/>
      <c r="I253" s="112"/>
      <c r="J253" s="112"/>
    </row>
    <row r="254" spans="1:10" s="19" customFormat="1" ht="15" hidden="1">
      <c r="A254" s="35" t="s">
        <v>455</v>
      </c>
      <c r="B254" s="36" t="s">
        <v>44</v>
      </c>
      <c r="C254" s="130">
        <v>0</v>
      </c>
      <c r="D254" s="115">
        <v>189129.41</v>
      </c>
      <c r="E254" s="142">
        <v>339023</v>
      </c>
      <c r="F254" s="34">
        <f t="shared" si="130"/>
        <v>528152.41</v>
      </c>
      <c r="G254" s="102"/>
      <c r="H254" s="102"/>
      <c r="I254" s="112"/>
      <c r="J254" s="112"/>
    </row>
    <row r="255" spans="1:10" s="19" customFormat="1" ht="15" hidden="1">
      <c r="A255" s="35" t="s">
        <v>456</v>
      </c>
      <c r="B255" s="36" t="s">
        <v>457</v>
      </c>
      <c r="C255" s="130">
        <v>0</v>
      </c>
      <c r="D255" s="115">
        <v>25852.95</v>
      </c>
      <c r="E255" s="142">
        <v>245216</v>
      </c>
      <c r="F255" s="34">
        <f t="shared" si="130"/>
        <v>271068.95</v>
      </c>
      <c r="G255" s="102"/>
      <c r="H255" s="102"/>
      <c r="I255" s="112"/>
      <c r="J255" s="112"/>
    </row>
    <row r="256" spans="1:10" s="19" customFormat="1" ht="15" hidden="1">
      <c r="A256" s="35" t="s">
        <v>458</v>
      </c>
      <c r="B256" s="36" t="s">
        <v>40</v>
      </c>
      <c r="C256" s="130">
        <v>0</v>
      </c>
      <c r="D256" s="115">
        <v>23900.58</v>
      </c>
      <c r="E256" s="142">
        <v>98783</v>
      </c>
      <c r="F256" s="34">
        <f t="shared" si="130"/>
        <v>122683.58</v>
      </c>
      <c r="G256" s="102"/>
      <c r="H256" s="102"/>
      <c r="I256" s="112"/>
      <c r="J256" s="112"/>
    </row>
    <row r="257" spans="1:10" s="19" customFormat="1" ht="15" hidden="1">
      <c r="A257" s="35" t="s">
        <v>459</v>
      </c>
      <c r="B257" s="36" t="s">
        <v>460</v>
      </c>
      <c r="C257" s="130">
        <v>0</v>
      </c>
      <c r="D257" s="115">
        <v>187962.05</v>
      </c>
      <c r="E257" s="34">
        <v>162467</v>
      </c>
      <c r="F257" s="34">
        <f t="shared" si="130"/>
        <v>350429.05</v>
      </c>
      <c r="G257" s="102"/>
      <c r="H257" s="102"/>
      <c r="I257" s="112"/>
      <c r="J257" s="112"/>
    </row>
    <row r="258" spans="1:10" s="19" customFormat="1" ht="15" hidden="1">
      <c r="A258" s="35" t="s">
        <v>461</v>
      </c>
      <c r="B258" s="36" t="s">
        <v>462</v>
      </c>
      <c r="C258" s="130">
        <v>0</v>
      </c>
      <c r="D258" s="115">
        <v>947.67</v>
      </c>
      <c r="E258" s="34">
        <v>512227</v>
      </c>
      <c r="F258" s="34">
        <f t="shared" si="130"/>
        <v>513174.67</v>
      </c>
      <c r="G258" s="102"/>
      <c r="H258" s="102"/>
      <c r="I258" s="112"/>
      <c r="J258" s="112"/>
    </row>
    <row r="259" spans="1:10" s="19" customFormat="1" ht="15" hidden="1">
      <c r="A259" s="35" t="s">
        <v>463</v>
      </c>
      <c r="B259" s="35" t="s">
        <v>464</v>
      </c>
      <c r="C259" s="130">
        <v>0</v>
      </c>
      <c r="D259" s="130">
        <v>5560.98</v>
      </c>
      <c r="E259" s="34">
        <v>85898</v>
      </c>
      <c r="F259" s="34">
        <f t="shared" si="130"/>
        <v>91458.98</v>
      </c>
      <c r="G259" s="102"/>
      <c r="H259" s="102"/>
      <c r="I259" s="112"/>
      <c r="J259" s="112"/>
    </row>
    <row r="260" spans="1:10" s="19" customFormat="1" ht="15" hidden="1">
      <c r="A260" s="35" t="s">
        <v>465</v>
      </c>
      <c r="B260" s="36" t="s">
        <v>466</v>
      </c>
      <c r="C260" s="130">
        <v>0</v>
      </c>
      <c r="D260" s="130">
        <v>16322.31</v>
      </c>
      <c r="E260" s="34">
        <v>252124</v>
      </c>
      <c r="F260" s="34">
        <f t="shared" si="130"/>
        <v>268446.31</v>
      </c>
      <c r="G260" s="102"/>
      <c r="H260" s="102"/>
      <c r="I260" s="112"/>
      <c r="J260" s="112"/>
    </row>
    <row r="261" spans="1:10" s="19" customFormat="1" ht="15" hidden="1">
      <c r="A261" s="35" t="s">
        <v>467</v>
      </c>
      <c r="B261" s="36" t="s">
        <v>468</v>
      </c>
      <c r="C261" s="130">
        <v>0</v>
      </c>
      <c r="D261" s="130">
        <v>10730.02</v>
      </c>
      <c r="E261" s="34">
        <v>165742</v>
      </c>
      <c r="F261" s="34">
        <f t="shared" si="130"/>
        <v>176472.02</v>
      </c>
      <c r="G261" s="102"/>
      <c r="H261" s="102"/>
      <c r="I261" s="112"/>
      <c r="J261" s="112"/>
    </row>
    <row r="262" spans="1:10" s="19" customFormat="1" ht="15" hidden="1">
      <c r="A262" s="35" t="s">
        <v>469</v>
      </c>
      <c r="B262" s="36" t="s">
        <v>470</v>
      </c>
      <c r="C262" s="130">
        <v>0</v>
      </c>
      <c r="D262" s="130">
        <v>8870.61</v>
      </c>
      <c r="E262" s="34">
        <v>137020</v>
      </c>
      <c r="F262" s="34">
        <f t="shared" si="130"/>
        <v>145890.60999999999</v>
      </c>
      <c r="G262" s="102"/>
      <c r="H262" s="102"/>
      <c r="I262" s="112"/>
      <c r="J262" s="112"/>
    </row>
    <row r="263" spans="1:10" s="19" customFormat="1" ht="15" hidden="1">
      <c r="A263" s="124" t="s">
        <v>453</v>
      </c>
      <c r="B263" s="124" t="s">
        <v>454</v>
      </c>
      <c r="C263" s="130">
        <v>0</v>
      </c>
      <c r="D263" s="115">
        <v>101688.7</v>
      </c>
      <c r="E263" s="34">
        <f>450000+110421+0.06</f>
        <v>560421.06000000006</v>
      </c>
      <c r="F263" s="34">
        <f t="shared" si="130"/>
        <v>662109.76</v>
      </c>
      <c r="G263" s="102"/>
      <c r="H263" s="102"/>
      <c r="I263" s="112"/>
      <c r="J263" s="112"/>
    </row>
    <row r="264" spans="1:10" s="19" customFormat="1" ht="15" hidden="1">
      <c r="A264" s="124" t="s">
        <v>455</v>
      </c>
      <c r="B264" s="124" t="s">
        <v>44</v>
      </c>
      <c r="C264" s="130">
        <v>0</v>
      </c>
      <c r="D264" s="115">
        <v>307071.40999999997</v>
      </c>
      <c r="E264" s="34">
        <v>185000</v>
      </c>
      <c r="F264" s="34">
        <f t="shared" si="130"/>
        <v>492071.41</v>
      </c>
      <c r="G264" s="102"/>
      <c r="H264" s="102"/>
      <c r="I264" s="112"/>
      <c r="J264" s="112"/>
    </row>
    <row r="265" spans="1:10" s="19" customFormat="1" ht="15" hidden="1">
      <c r="A265" s="124" t="s">
        <v>456</v>
      </c>
      <c r="B265" s="124" t="s">
        <v>457</v>
      </c>
      <c r="C265" s="130">
        <v>0</v>
      </c>
      <c r="D265" s="115">
        <v>44853.52</v>
      </c>
      <c r="E265" s="34">
        <v>0</v>
      </c>
      <c r="F265" s="34">
        <f t="shared" si="130"/>
        <v>44853.52</v>
      </c>
      <c r="G265" s="102"/>
      <c r="H265" s="102"/>
      <c r="I265" s="112"/>
      <c r="J265" s="112"/>
    </row>
    <row r="266" spans="1:10" s="19" customFormat="1" ht="15" hidden="1">
      <c r="A266" s="124" t="s">
        <v>458</v>
      </c>
      <c r="B266" s="124" t="s">
        <v>40</v>
      </c>
      <c r="C266" s="130">
        <v>0</v>
      </c>
      <c r="D266" s="115">
        <v>34715.68</v>
      </c>
      <c r="E266" s="34">
        <v>105000</v>
      </c>
      <c r="F266" s="34">
        <f t="shared" si="130"/>
        <v>139715.68</v>
      </c>
      <c r="G266" s="102"/>
      <c r="H266" s="102"/>
      <c r="I266" s="112"/>
      <c r="J266" s="112"/>
    </row>
    <row r="267" spans="1:10" s="19" customFormat="1" ht="15" hidden="1">
      <c r="A267" s="124" t="s">
        <v>461</v>
      </c>
      <c r="B267" s="124" t="s">
        <v>462</v>
      </c>
      <c r="C267" s="130">
        <v>0</v>
      </c>
      <c r="D267" s="115">
        <v>211758.42</v>
      </c>
      <c r="E267" s="34">
        <v>1300000</v>
      </c>
      <c r="F267" s="34">
        <f t="shared" si="130"/>
        <v>1511758.42</v>
      </c>
      <c r="G267" s="102"/>
      <c r="H267" s="102"/>
      <c r="I267" s="112"/>
      <c r="J267" s="112"/>
    </row>
    <row r="268" spans="1:10" s="19" customFormat="1" ht="15" hidden="1">
      <c r="A268" s="124" t="s">
        <v>469</v>
      </c>
      <c r="B268" s="124" t="s">
        <v>470</v>
      </c>
      <c r="C268" s="130">
        <v>0</v>
      </c>
      <c r="D268" s="115">
        <v>947.67</v>
      </c>
      <c r="E268" s="34">
        <f t="shared" ref="E268" si="131">D268/8*4</f>
        <v>473.83499999999998</v>
      </c>
      <c r="F268" s="34">
        <f t="shared" si="130"/>
        <v>1421.5049999999999</v>
      </c>
      <c r="G268" s="102"/>
      <c r="H268" s="102"/>
      <c r="I268" s="112"/>
      <c r="J268" s="112"/>
    </row>
    <row r="269" spans="1:10" s="25" customFormat="1" ht="15">
      <c r="A269" s="16" t="s">
        <v>471</v>
      </c>
      <c r="B269" s="17" t="s">
        <v>472</v>
      </c>
      <c r="C269" s="18">
        <f>+C270+C271+C272</f>
        <v>3000</v>
      </c>
      <c r="D269" s="18">
        <f>+D270+D271+D272</f>
        <v>698210.21</v>
      </c>
      <c r="E269" s="18">
        <f>+E270+E271+E272</f>
        <v>0</v>
      </c>
      <c r="F269" s="18">
        <f>+F270+F271+F272</f>
        <v>698210.21</v>
      </c>
      <c r="G269" s="114">
        <f t="shared" ref="G269:H269" si="132">+G270+G271+G272</f>
        <v>-698210.21</v>
      </c>
      <c r="H269" s="114">
        <f t="shared" si="132"/>
        <v>0</v>
      </c>
      <c r="I269" s="112"/>
      <c r="J269" s="112"/>
    </row>
    <row r="270" spans="1:10" s="19" customFormat="1" ht="15">
      <c r="A270" s="35" t="s">
        <v>473</v>
      </c>
      <c r="B270" s="36" t="s">
        <v>474</v>
      </c>
      <c r="C270" s="95">
        <v>2000</v>
      </c>
      <c r="D270" s="115">
        <v>0</v>
      </c>
      <c r="E270" s="34">
        <f>D270/8*4</f>
        <v>0</v>
      </c>
      <c r="F270" s="34">
        <f t="shared" si="130"/>
        <v>0</v>
      </c>
      <c r="G270" s="102">
        <f>+F270*0.05</f>
        <v>0</v>
      </c>
      <c r="H270" s="102">
        <f>+F270+G270</f>
        <v>0</v>
      </c>
      <c r="I270" s="112"/>
      <c r="J270" s="112"/>
    </row>
    <row r="271" spans="1:10" s="19" customFormat="1" ht="15">
      <c r="A271" s="35" t="s">
        <v>475</v>
      </c>
      <c r="B271" s="35" t="s">
        <v>476</v>
      </c>
      <c r="C271" s="95">
        <v>1000</v>
      </c>
      <c r="D271" s="115">
        <v>0</v>
      </c>
      <c r="E271" s="34">
        <f t="shared" ref="E271" si="133">D271/8*4</f>
        <v>0</v>
      </c>
      <c r="F271" s="34">
        <f t="shared" si="130"/>
        <v>0</v>
      </c>
      <c r="G271" s="102">
        <v>0</v>
      </c>
      <c r="H271" s="102">
        <f t="shared" ref="H271" si="134">+F271+G271</f>
        <v>0</v>
      </c>
      <c r="I271" s="112"/>
      <c r="J271" s="112"/>
    </row>
    <row r="272" spans="1:10" s="19" customFormat="1" ht="15">
      <c r="A272" s="138" t="s">
        <v>668</v>
      </c>
      <c r="B272" s="138" t="s">
        <v>669</v>
      </c>
      <c r="C272" s="95">
        <v>0</v>
      </c>
      <c r="D272" s="96">
        <v>698210.21</v>
      </c>
      <c r="E272" s="34">
        <v>0</v>
      </c>
      <c r="F272" s="34">
        <f t="shared" si="130"/>
        <v>698210.21</v>
      </c>
      <c r="G272" s="102">
        <f>-F272</f>
        <v>-698210.21</v>
      </c>
      <c r="H272" s="102">
        <v>0</v>
      </c>
      <c r="I272" s="112"/>
      <c r="J272" s="112"/>
    </row>
    <row r="273" spans="1:10" s="25" customFormat="1" ht="15">
      <c r="A273" s="16" t="s">
        <v>477</v>
      </c>
      <c r="B273" s="16" t="s">
        <v>478</v>
      </c>
      <c r="C273" s="18">
        <f>SUBTOTAL(9,C274:C277)</f>
        <v>1710000</v>
      </c>
      <c r="D273" s="18">
        <f>SUBTOTAL(9,D274:D277)</f>
        <v>2301555</v>
      </c>
      <c r="E273" s="18">
        <f>SUBTOTAL(9,E274:E277)</f>
        <v>1149645.5</v>
      </c>
      <c r="F273" s="18">
        <f>SUBTOTAL(9,F274:F277)</f>
        <v>3451200.5</v>
      </c>
      <c r="G273" s="114">
        <f t="shared" ref="G273:H273" si="135">SUBTOTAL(9,G274:G277)</f>
        <v>51175.65</v>
      </c>
      <c r="H273" s="114">
        <f t="shared" si="135"/>
        <v>3502376.15</v>
      </c>
      <c r="I273" s="112"/>
      <c r="J273" s="112"/>
    </row>
    <row r="274" spans="1:10" s="19" customFormat="1" ht="15">
      <c r="A274" s="35" t="s">
        <v>479</v>
      </c>
      <c r="B274" s="116" t="s">
        <v>480</v>
      </c>
      <c r="C274" s="95">
        <v>10000</v>
      </c>
      <c r="D274" s="96">
        <v>2263</v>
      </c>
      <c r="E274" s="34">
        <v>0</v>
      </c>
      <c r="F274" s="34">
        <f>+D274+E274</f>
        <v>2263</v>
      </c>
      <c r="G274" s="102">
        <f>+F274*5%</f>
        <v>113.15</v>
      </c>
      <c r="H274" s="102">
        <f>+F274+G274</f>
        <v>2376.15</v>
      </c>
      <c r="I274" s="112"/>
      <c r="J274" s="112"/>
    </row>
    <row r="275" spans="1:10" s="19" customFormat="1" ht="15">
      <c r="A275" s="35" t="s">
        <v>481</v>
      </c>
      <c r="B275" s="116" t="s">
        <v>482</v>
      </c>
      <c r="C275" s="95">
        <v>1000000</v>
      </c>
      <c r="D275" s="96">
        <v>1672971</v>
      </c>
      <c r="E275" s="34">
        <f>D275/8*4</f>
        <v>836485.5</v>
      </c>
      <c r="F275" s="34">
        <f>+D275+E275</f>
        <v>2509456.5</v>
      </c>
      <c r="G275" s="102">
        <f>+H275-F275</f>
        <v>-9456.5</v>
      </c>
      <c r="H275" s="102">
        <v>2500000</v>
      </c>
      <c r="I275" s="112"/>
      <c r="J275" s="112"/>
    </row>
    <row r="276" spans="1:10" s="19" customFormat="1" ht="15">
      <c r="A276" s="35" t="s">
        <v>483</v>
      </c>
      <c r="B276" s="116" t="s">
        <v>484</v>
      </c>
      <c r="C276" s="95">
        <v>600000</v>
      </c>
      <c r="D276" s="96">
        <v>626321</v>
      </c>
      <c r="E276" s="34">
        <v>313160</v>
      </c>
      <c r="F276" s="34">
        <f>+D276+E276</f>
        <v>939481</v>
      </c>
      <c r="G276" s="102">
        <f>+H276-F276</f>
        <v>60519</v>
      </c>
      <c r="H276" s="102">
        <v>1000000</v>
      </c>
      <c r="I276" s="112"/>
      <c r="J276" s="112"/>
    </row>
    <row r="277" spans="1:10" s="19" customFormat="1" ht="15">
      <c r="A277" s="35" t="s">
        <v>485</v>
      </c>
      <c r="B277" s="36" t="s">
        <v>486</v>
      </c>
      <c r="C277" s="95">
        <v>100000</v>
      </c>
      <c r="D277" s="115">
        <v>0</v>
      </c>
      <c r="E277" s="34">
        <f>D277/8*4</f>
        <v>0</v>
      </c>
      <c r="F277" s="34">
        <f>+D277+E277</f>
        <v>0</v>
      </c>
      <c r="G277" s="102">
        <f t="shared" ref="G277" si="136">+F277*5%</f>
        <v>0</v>
      </c>
      <c r="H277" s="102">
        <f t="shared" ref="H277" si="137">+F277+G277</f>
        <v>0</v>
      </c>
      <c r="I277" s="112"/>
      <c r="J277" s="112"/>
    </row>
    <row r="278" spans="1:10" s="25" customFormat="1" ht="15">
      <c r="A278" s="16" t="s">
        <v>487</v>
      </c>
      <c r="B278" s="17" t="s">
        <v>488</v>
      </c>
      <c r="C278" s="95">
        <v>10000</v>
      </c>
      <c r="D278" s="115">
        <v>32401.9</v>
      </c>
      <c r="E278" s="18">
        <v>16200</v>
      </c>
      <c r="F278" s="18">
        <f>+D278+E278</f>
        <v>48601.9</v>
      </c>
      <c r="G278" s="141">
        <f>+F278*0.05</f>
        <v>2430.0950000000003</v>
      </c>
      <c r="H278" s="141">
        <f>+F278+G278</f>
        <v>51031.995000000003</v>
      </c>
      <c r="I278" s="112"/>
      <c r="J278" s="112"/>
    </row>
    <row r="279" spans="1:10" s="25" customFormat="1" ht="15">
      <c r="A279" s="16" t="s">
        <v>489</v>
      </c>
      <c r="B279" s="17" t="s">
        <v>490</v>
      </c>
      <c r="C279" s="18">
        <f>+C280</f>
        <v>4332000</v>
      </c>
      <c r="D279" s="18">
        <f>+D280</f>
        <v>2514012.7799999998</v>
      </c>
      <c r="E279" s="18">
        <f>+E280</f>
        <v>3609539</v>
      </c>
      <c r="F279" s="18">
        <f>+F280</f>
        <v>6123551.7799999993</v>
      </c>
      <c r="G279" s="18">
        <f t="shared" ref="G279:H279" si="138">+G280</f>
        <v>-1791551.7799999993</v>
      </c>
      <c r="H279" s="114">
        <f t="shared" si="138"/>
        <v>4332000</v>
      </c>
      <c r="I279" s="112"/>
      <c r="J279" s="112"/>
    </row>
    <row r="280" spans="1:10" s="19" customFormat="1" ht="25.5">
      <c r="A280" s="35" t="s">
        <v>491</v>
      </c>
      <c r="B280" s="143" t="s">
        <v>492</v>
      </c>
      <c r="C280" s="95">
        <v>4332000</v>
      </c>
      <c r="D280" s="96">
        <v>2514012.7799999998</v>
      </c>
      <c r="E280" s="34">
        <v>3609539</v>
      </c>
      <c r="F280" s="34">
        <f>+D280+E280</f>
        <v>6123551.7799999993</v>
      </c>
      <c r="G280" s="102">
        <f>+H280-F280</f>
        <v>-1791551.7799999993</v>
      </c>
      <c r="H280" s="102">
        <v>4332000</v>
      </c>
      <c r="I280" s="112"/>
      <c r="J280" s="112"/>
    </row>
    <row r="281" spans="1:10" s="25" customFormat="1" ht="15">
      <c r="A281" s="16" t="s">
        <v>493</v>
      </c>
      <c r="B281" s="17" t="s">
        <v>494</v>
      </c>
      <c r="C281" s="18">
        <f>+C282+C290</f>
        <v>333110000</v>
      </c>
      <c r="D281" s="18">
        <f>+D282+D290</f>
        <v>145568984.53</v>
      </c>
      <c r="E281" s="18">
        <f>+E282+E290</f>
        <v>69683258</v>
      </c>
      <c r="F281" s="18">
        <f>+F282+F290</f>
        <v>216773935.48000002</v>
      </c>
      <c r="G281" s="114">
        <f t="shared" ref="G281:H281" si="139">+G282+G290</f>
        <v>65501960.734499998</v>
      </c>
      <c r="H281" s="114">
        <f t="shared" si="139"/>
        <v>282275896.21449995</v>
      </c>
      <c r="I281" s="112"/>
      <c r="J281" s="112"/>
    </row>
    <row r="282" spans="1:10" s="25" customFormat="1" ht="15">
      <c r="A282" s="16" t="s">
        <v>495</v>
      </c>
      <c r="B282" s="16" t="s">
        <v>496</v>
      </c>
      <c r="C282" s="18">
        <f>SUBTOTAL(9,C283:C289)</f>
        <v>195310000</v>
      </c>
      <c r="D282" s="18">
        <f>SUBTOTAL(9,D283:D289)</f>
        <v>97671214.409999996</v>
      </c>
      <c r="E282" s="18">
        <f>SUBTOTAL(9,E283:E289)</f>
        <v>46723232</v>
      </c>
      <c r="F282" s="18">
        <f>SUBTOTAL(9,F283:F289)</f>
        <v>144394446.41000003</v>
      </c>
      <c r="G282" s="114">
        <f t="shared" ref="G282:H282" si="140">SUBTOTAL(9,G283:G289)</f>
        <v>7882986.2809999948</v>
      </c>
      <c r="H282" s="114">
        <f t="shared" si="140"/>
        <v>152277432.69099998</v>
      </c>
      <c r="I282" s="112"/>
      <c r="J282" s="112"/>
    </row>
    <row r="283" spans="1:10" s="19" customFormat="1" ht="15">
      <c r="A283" s="35" t="s">
        <v>497</v>
      </c>
      <c r="B283" s="36" t="s">
        <v>498</v>
      </c>
      <c r="C283" s="95">
        <v>2500000</v>
      </c>
      <c r="D283" s="96">
        <v>1305243.98</v>
      </c>
      <c r="E283" s="34">
        <v>506136</v>
      </c>
      <c r="F283" s="34">
        <f t="shared" ref="F283:F289" si="141">+D283+E283</f>
        <v>1811379.98</v>
      </c>
      <c r="G283" s="102">
        <f>+H283-F283</f>
        <v>196120.02000000002</v>
      </c>
      <c r="H283" s="117">
        <v>2007500</v>
      </c>
      <c r="I283" s="112"/>
      <c r="J283" s="112"/>
    </row>
    <row r="284" spans="1:10" s="19" customFormat="1" ht="15">
      <c r="A284" s="35" t="s">
        <v>499</v>
      </c>
      <c r="B284" s="36" t="s">
        <v>500</v>
      </c>
      <c r="C284" s="95">
        <v>100000</v>
      </c>
      <c r="D284" s="96">
        <v>544815.13</v>
      </c>
      <c r="E284" s="34">
        <v>120000</v>
      </c>
      <c r="F284" s="34">
        <f t="shared" si="141"/>
        <v>664815.13</v>
      </c>
      <c r="G284" s="102">
        <f>+F284*0.05</f>
        <v>33240.756500000003</v>
      </c>
      <c r="H284" s="102">
        <f>+F284+G284</f>
        <v>698055.88650000002</v>
      </c>
      <c r="I284" s="112"/>
      <c r="J284" s="112"/>
    </row>
    <row r="285" spans="1:10" s="19" customFormat="1" ht="15">
      <c r="A285" s="35" t="s">
        <v>501</v>
      </c>
      <c r="B285" s="36" t="s">
        <v>502</v>
      </c>
      <c r="C285" s="95">
        <v>500000</v>
      </c>
      <c r="D285" s="115">
        <v>0</v>
      </c>
      <c r="E285" s="34">
        <f>+D285/8*4</f>
        <v>0</v>
      </c>
      <c r="F285" s="34">
        <f t="shared" si="141"/>
        <v>0</v>
      </c>
      <c r="G285" s="102">
        <f>+H285-F285</f>
        <v>500000</v>
      </c>
      <c r="H285" s="102">
        <v>500000</v>
      </c>
      <c r="I285" s="112"/>
      <c r="J285" s="112"/>
    </row>
    <row r="286" spans="1:10" s="19" customFormat="1" ht="15">
      <c r="A286" s="124" t="s">
        <v>630</v>
      </c>
      <c r="B286" s="124" t="s">
        <v>629</v>
      </c>
      <c r="C286" s="95">
        <v>0</v>
      </c>
      <c r="D286" s="115">
        <v>0</v>
      </c>
      <c r="E286" s="34">
        <f>+D286/8*4</f>
        <v>0</v>
      </c>
      <c r="F286" s="34">
        <f t="shared" si="141"/>
        <v>0</v>
      </c>
      <c r="G286" s="102">
        <f t="shared" ref="G286:G289" si="142">+F286*0.05</f>
        <v>0</v>
      </c>
      <c r="H286" s="102">
        <f t="shared" ref="H286:H289" si="143">+F286+G286</f>
        <v>0</v>
      </c>
      <c r="I286" s="112"/>
      <c r="J286" s="112"/>
    </row>
    <row r="287" spans="1:10" s="19" customFormat="1" ht="25.5">
      <c r="A287" s="35" t="s">
        <v>503</v>
      </c>
      <c r="B287" s="137" t="s">
        <v>504</v>
      </c>
      <c r="C287" s="95">
        <v>38000000</v>
      </c>
      <c r="D287" s="96">
        <v>27880197.739999998</v>
      </c>
      <c r="E287" s="34">
        <v>9382476</v>
      </c>
      <c r="F287" s="34">
        <f t="shared" si="141"/>
        <v>37262673.739999995</v>
      </c>
      <c r="G287" s="102">
        <f t="shared" si="142"/>
        <v>1863133.6869999999</v>
      </c>
      <c r="H287" s="102">
        <f t="shared" si="143"/>
        <v>39125807.426999994</v>
      </c>
      <c r="I287" s="112"/>
      <c r="J287" s="112"/>
    </row>
    <row r="288" spans="1:10" s="19" customFormat="1" ht="15">
      <c r="A288" s="35" t="s">
        <v>505</v>
      </c>
      <c r="B288" s="116" t="s">
        <v>506</v>
      </c>
      <c r="C288" s="95">
        <v>154200000</v>
      </c>
      <c r="D288" s="96">
        <v>67929661.010000005</v>
      </c>
      <c r="E288" s="34">
        <v>36710120</v>
      </c>
      <c r="F288" s="34">
        <f t="shared" si="141"/>
        <v>104639781.01000001</v>
      </c>
      <c r="G288" s="102">
        <f>+H288-F288</f>
        <v>5289701.9899999946</v>
      </c>
      <c r="H288" s="102">
        <v>109929483</v>
      </c>
      <c r="I288" s="112"/>
      <c r="J288" s="112"/>
    </row>
    <row r="289" spans="1:10" s="19" customFormat="1" ht="15">
      <c r="A289" s="35" t="s">
        <v>507</v>
      </c>
      <c r="B289" s="36" t="s">
        <v>508</v>
      </c>
      <c r="C289" s="95">
        <v>10000</v>
      </c>
      <c r="D289" s="96">
        <v>11296.55</v>
      </c>
      <c r="E289" s="34">
        <v>4500</v>
      </c>
      <c r="F289" s="34">
        <f t="shared" si="141"/>
        <v>15796.55</v>
      </c>
      <c r="G289" s="102">
        <f t="shared" si="142"/>
        <v>789.82749999999999</v>
      </c>
      <c r="H289" s="102">
        <f t="shared" si="143"/>
        <v>16586.377499999999</v>
      </c>
      <c r="I289" s="112"/>
      <c r="J289" s="112"/>
    </row>
    <row r="290" spans="1:10" s="25" customFormat="1" ht="15">
      <c r="A290" s="16" t="s">
        <v>509</v>
      </c>
      <c r="B290" s="16" t="s">
        <v>510</v>
      </c>
      <c r="C290" s="18">
        <f>SUBTOTAL(9,C291:C294)</f>
        <v>137800000</v>
      </c>
      <c r="D290" s="18">
        <f>SUBTOTAL(9,D291:D294)</f>
        <v>47897770.120000005</v>
      </c>
      <c r="E290" s="18">
        <f>SUBTOTAL(9,E291:E294)</f>
        <v>22960026</v>
      </c>
      <c r="F290" s="18">
        <f>SUBTOTAL(9,F291:F294)</f>
        <v>72379489.069999993</v>
      </c>
      <c r="G290" s="114">
        <f t="shared" ref="G290:H290" si="144">SUBTOTAL(9,G291:G294)</f>
        <v>57618974.453500003</v>
      </c>
      <c r="H290" s="114">
        <f t="shared" si="144"/>
        <v>129998463.5235</v>
      </c>
      <c r="I290" s="112"/>
      <c r="J290" s="112"/>
    </row>
    <row r="291" spans="1:10" s="19" customFormat="1" ht="15">
      <c r="A291" s="35" t="s">
        <v>511</v>
      </c>
      <c r="B291" s="116" t="s">
        <v>512</v>
      </c>
      <c r="C291" s="95">
        <v>4000000</v>
      </c>
      <c r="D291" s="96">
        <v>4484875.05</v>
      </c>
      <c r="E291" s="34">
        <f>3268029</f>
        <v>3268029</v>
      </c>
      <c r="F291" s="34">
        <v>9274597</v>
      </c>
      <c r="G291" s="102">
        <f>+F291*0.05</f>
        <v>463729.85000000003</v>
      </c>
      <c r="H291" s="102">
        <f>+F291+G291</f>
        <v>9738326.8499999996</v>
      </c>
      <c r="I291" s="112"/>
      <c r="J291" s="112"/>
    </row>
    <row r="292" spans="1:10" s="19" customFormat="1" ht="15">
      <c r="A292" s="35" t="s">
        <v>513</v>
      </c>
      <c r="B292" s="137" t="s">
        <v>514</v>
      </c>
      <c r="C292" s="95">
        <v>40800000</v>
      </c>
      <c r="D292" s="96">
        <v>23366318.399999999</v>
      </c>
      <c r="E292" s="34">
        <v>12950916</v>
      </c>
      <c r="F292" s="34">
        <f>+D292+E292</f>
        <v>36317234.399999999</v>
      </c>
      <c r="G292" s="102">
        <f>+F292*0.05</f>
        <v>1815861.72</v>
      </c>
      <c r="H292" s="102">
        <f>+F292+G292</f>
        <v>38133096.119999997</v>
      </c>
      <c r="I292" s="112"/>
      <c r="J292" s="112"/>
    </row>
    <row r="293" spans="1:10" s="19" customFormat="1" ht="25.5">
      <c r="A293" s="35" t="s">
        <v>515</v>
      </c>
      <c r="B293" s="137" t="s">
        <v>516</v>
      </c>
      <c r="C293" s="95">
        <v>33000000</v>
      </c>
      <c r="D293" s="96">
        <v>20046576.670000002</v>
      </c>
      <c r="E293" s="34">
        <v>6741081</v>
      </c>
      <c r="F293" s="34">
        <f>+D293+E293</f>
        <v>26787657.670000002</v>
      </c>
      <c r="G293" s="102">
        <f t="shared" ref="G293" si="145">+F293*0.05</f>
        <v>1339382.8835000002</v>
      </c>
      <c r="H293" s="102">
        <f t="shared" ref="H293" si="146">+F293+G293</f>
        <v>28127040.5535</v>
      </c>
      <c r="I293" s="112"/>
      <c r="J293" s="112"/>
    </row>
    <row r="294" spans="1:10" s="19" customFormat="1" ht="25.5">
      <c r="A294" s="124" t="s">
        <v>631</v>
      </c>
      <c r="B294" s="116" t="s">
        <v>601</v>
      </c>
      <c r="C294" s="95">
        <v>60000000</v>
      </c>
      <c r="D294" s="115">
        <v>0</v>
      </c>
      <c r="E294" s="34">
        <f>D294/8*4</f>
        <v>0</v>
      </c>
      <c r="F294" s="34">
        <f>+D294+E294</f>
        <v>0</v>
      </c>
      <c r="G294" s="102">
        <f>+H294-F294</f>
        <v>54000000</v>
      </c>
      <c r="H294" s="102">
        <v>54000000</v>
      </c>
      <c r="I294" s="112"/>
      <c r="J294" s="112"/>
    </row>
    <row r="295" spans="1:10" s="25" customFormat="1" ht="15">
      <c r="A295" s="16" t="s">
        <v>517</v>
      </c>
      <c r="B295" s="17" t="s">
        <v>518</v>
      </c>
      <c r="C295" s="18">
        <f>+C296</f>
        <v>3300</v>
      </c>
      <c r="D295" s="18">
        <f>+D296</f>
        <v>13772</v>
      </c>
      <c r="E295" s="18">
        <f>+E296</f>
        <v>5164.5</v>
      </c>
      <c r="F295" s="18">
        <f>+F296</f>
        <v>18936.5</v>
      </c>
      <c r="G295" s="114">
        <f t="shared" ref="G295:H295" si="147">+G296</f>
        <v>946.82500000000005</v>
      </c>
      <c r="H295" s="114">
        <f t="shared" si="147"/>
        <v>19883.325000000001</v>
      </c>
      <c r="I295" s="112"/>
      <c r="J295" s="112"/>
    </row>
    <row r="296" spans="1:10" s="19" customFormat="1" ht="15">
      <c r="A296" s="35" t="s">
        <v>519</v>
      </c>
      <c r="B296" s="36" t="s">
        <v>520</v>
      </c>
      <c r="C296" s="95">
        <v>3300</v>
      </c>
      <c r="D296" s="96">
        <v>13772</v>
      </c>
      <c r="E296" s="130">
        <f>D296/8*3</f>
        <v>5164.5</v>
      </c>
      <c r="F296" s="34">
        <f t="shared" ref="F296:F297" si="148">+D296+E296</f>
        <v>18936.5</v>
      </c>
      <c r="G296" s="102">
        <f>+F296*0.05</f>
        <v>946.82500000000005</v>
      </c>
      <c r="H296" s="102">
        <f>+F296+G296</f>
        <v>19883.325000000001</v>
      </c>
      <c r="I296" s="112"/>
      <c r="J296" s="112"/>
    </row>
    <row r="297" spans="1:10" s="19" customFormat="1" ht="15">
      <c r="A297" s="124" t="s">
        <v>633</v>
      </c>
      <c r="B297" s="124" t="s">
        <v>632</v>
      </c>
      <c r="C297" s="95">
        <v>0</v>
      </c>
      <c r="D297" s="96">
        <v>0</v>
      </c>
      <c r="E297" s="130">
        <f>D297/8*4</f>
        <v>0</v>
      </c>
      <c r="F297" s="34">
        <f t="shared" si="148"/>
        <v>0</v>
      </c>
      <c r="G297" s="102">
        <f t="shared" ref="G297:G299" si="149">+F297*0.05</f>
        <v>0</v>
      </c>
      <c r="H297" s="102">
        <f t="shared" ref="H297:H299" si="150">+F297+G297</f>
        <v>0</v>
      </c>
      <c r="I297" s="112"/>
      <c r="J297" s="112"/>
    </row>
    <row r="298" spans="1:10" s="25" customFormat="1" ht="15">
      <c r="A298" s="16" t="s">
        <v>521</v>
      </c>
      <c r="B298" s="17" t="s">
        <v>522</v>
      </c>
      <c r="C298" s="95">
        <v>800</v>
      </c>
      <c r="D298" s="96">
        <v>805.41</v>
      </c>
      <c r="E298" s="34">
        <f>+D298/8*4</f>
        <v>402.70499999999998</v>
      </c>
      <c r="F298" s="34">
        <f>+D298+E298</f>
        <v>1208.115</v>
      </c>
      <c r="G298" s="102">
        <f t="shared" si="149"/>
        <v>60.405750000000005</v>
      </c>
      <c r="H298" s="102">
        <f t="shared" si="150"/>
        <v>1268.5207499999999</v>
      </c>
      <c r="I298" s="112"/>
      <c r="J298" s="112"/>
    </row>
    <row r="299" spans="1:10" s="25" customFormat="1" ht="15">
      <c r="A299" s="16" t="s">
        <v>523</v>
      </c>
      <c r="B299" s="17" t="s">
        <v>524</v>
      </c>
      <c r="C299" s="95">
        <v>1500</v>
      </c>
      <c r="D299" s="96">
        <v>12967.31</v>
      </c>
      <c r="E299" s="34">
        <f>D299/8*3</f>
        <v>4862.74125</v>
      </c>
      <c r="F299" s="34">
        <f>+D299+E299</f>
        <v>17830.05125</v>
      </c>
      <c r="G299" s="102">
        <f t="shared" si="149"/>
        <v>891.50256250000007</v>
      </c>
      <c r="H299" s="102">
        <f t="shared" si="150"/>
        <v>18721.553812500002</v>
      </c>
      <c r="I299" s="112"/>
      <c r="J299" s="112"/>
    </row>
    <row r="300" spans="1:10" s="25" customFormat="1" ht="15">
      <c r="A300" s="16" t="s">
        <v>525</v>
      </c>
      <c r="B300" s="17" t="s">
        <v>526</v>
      </c>
      <c r="C300" s="95">
        <v>1000</v>
      </c>
      <c r="D300" s="115">
        <v>0</v>
      </c>
      <c r="E300" s="34">
        <f>D300/8*4</f>
        <v>0</v>
      </c>
      <c r="F300" s="34">
        <f>+D300+E300</f>
        <v>0</v>
      </c>
      <c r="G300" s="102"/>
      <c r="H300" s="102"/>
      <c r="I300" s="112"/>
      <c r="J300" s="112"/>
    </row>
    <row r="301" spans="1:10" s="25" customFormat="1" ht="15">
      <c r="A301" s="16"/>
      <c r="B301" s="17"/>
      <c r="C301" s="95"/>
      <c r="D301" s="115"/>
      <c r="E301" s="34"/>
      <c r="F301" s="34"/>
      <c r="G301" s="102"/>
      <c r="H301" s="102"/>
      <c r="I301" s="112"/>
      <c r="J301" s="112"/>
    </row>
    <row r="302" spans="1:10" s="19" customFormat="1" ht="51">
      <c r="A302" s="144" t="s">
        <v>527</v>
      </c>
      <c r="B302" s="25" t="s">
        <v>527</v>
      </c>
      <c r="G302" s="102"/>
      <c r="H302" s="102"/>
      <c r="I302" s="112"/>
      <c r="J302" s="112"/>
    </row>
    <row r="303" spans="1:10" s="25" customFormat="1" ht="15">
      <c r="A303" s="16" t="s">
        <v>528</v>
      </c>
      <c r="B303" s="17" t="s">
        <v>529</v>
      </c>
      <c r="C303" s="18">
        <f>+C304</f>
        <v>431000</v>
      </c>
      <c r="D303" s="18">
        <f>+D304</f>
        <v>320580</v>
      </c>
      <c r="E303" s="18">
        <f>+E304</f>
        <v>106860</v>
      </c>
      <c r="F303" s="18">
        <f>+F304</f>
        <v>427440</v>
      </c>
      <c r="G303" s="114">
        <f t="shared" ref="G303:H303" si="151">+G304</f>
        <v>21372</v>
      </c>
      <c r="H303" s="114">
        <f t="shared" si="151"/>
        <v>448812</v>
      </c>
      <c r="I303" s="112"/>
      <c r="J303" s="112"/>
    </row>
    <row r="304" spans="1:10" s="19" customFormat="1" ht="15">
      <c r="A304" s="35" t="s">
        <v>530</v>
      </c>
      <c r="B304" s="36" t="s">
        <v>531</v>
      </c>
      <c r="C304" s="115">
        <v>431000</v>
      </c>
      <c r="D304" s="96">
        <v>320580</v>
      </c>
      <c r="E304" s="34">
        <v>106860</v>
      </c>
      <c r="F304" s="34">
        <f>+D304+E304</f>
        <v>427440</v>
      </c>
      <c r="G304" s="102">
        <f>+F304*0.05</f>
        <v>21372</v>
      </c>
      <c r="H304" s="102">
        <f>+F304+G304</f>
        <v>448812</v>
      </c>
      <c r="I304" s="112"/>
      <c r="J304" s="112"/>
    </row>
    <row r="305" spans="1:10" s="19" customFormat="1" ht="15">
      <c r="A305" s="35"/>
      <c r="B305" s="36"/>
      <c r="C305" s="115"/>
      <c r="D305" s="96"/>
      <c r="E305" s="34"/>
      <c r="F305" s="34"/>
      <c r="G305" s="102"/>
      <c r="H305" s="102"/>
      <c r="I305" s="112"/>
      <c r="J305" s="112"/>
    </row>
    <row r="306" spans="1:10" s="19" customFormat="1" ht="51">
      <c r="A306" s="144" t="s">
        <v>532</v>
      </c>
      <c r="B306" s="144"/>
      <c r="C306" s="136">
        <f t="shared" ref="C306:H306" si="152">C307</f>
        <v>21620000</v>
      </c>
      <c r="D306" s="136">
        <f t="shared" si="152"/>
        <v>4201959.29</v>
      </c>
      <c r="E306" s="136">
        <f t="shared" si="152"/>
        <v>5780755.7300000004</v>
      </c>
      <c r="F306" s="136">
        <f t="shared" si="152"/>
        <v>12555224.85</v>
      </c>
      <c r="G306" s="136">
        <f t="shared" si="152"/>
        <v>-2459338.6915000002</v>
      </c>
      <c r="H306" s="141">
        <f t="shared" si="152"/>
        <v>10095886.158500001</v>
      </c>
      <c r="I306" s="112"/>
      <c r="J306" s="112"/>
    </row>
    <row r="307" spans="1:10" s="19" customFormat="1" ht="15">
      <c r="A307" s="16" t="s">
        <v>533</v>
      </c>
      <c r="B307" s="17" t="s">
        <v>534</v>
      </c>
      <c r="C307" s="18">
        <f>+C308+C312+C316+C319</f>
        <v>21620000</v>
      </c>
      <c r="D307" s="18">
        <f>+D308+D312+D316+D319</f>
        <v>4201959.29</v>
      </c>
      <c r="E307" s="18">
        <f>+E308+E312+E316+E319</f>
        <v>5780755.7300000004</v>
      </c>
      <c r="F307" s="18">
        <f>+F308+F312+F316+F319</f>
        <v>12555224.85</v>
      </c>
      <c r="G307" s="114">
        <f t="shared" ref="G307:H307" si="153">+G308+G312+G316+G319</f>
        <v>-2459338.6915000002</v>
      </c>
      <c r="H307" s="114">
        <f t="shared" si="153"/>
        <v>10095886.158500001</v>
      </c>
      <c r="I307" s="112"/>
      <c r="J307" s="112"/>
    </row>
    <row r="308" spans="1:10" s="19" customFormat="1" ht="15">
      <c r="A308" s="16" t="s">
        <v>535</v>
      </c>
      <c r="B308" s="17" t="s">
        <v>536</v>
      </c>
      <c r="C308" s="18">
        <f>+C309+C310+C311</f>
        <v>1250000</v>
      </c>
      <c r="D308" s="18">
        <f>+D309+D310+D311</f>
        <v>627632.9</v>
      </c>
      <c r="E308" s="18">
        <f>+E309+E310+E311</f>
        <v>3993592.5350000001</v>
      </c>
      <c r="F308" s="18">
        <f>+F309+F310+F311</f>
        <v>4621225.4350000005</v>
      </c>
      <c r="G308" s="114">
        <f t="shared" ref="G308:H308" si="154">+G309+G310+G311</f>
        <v>-3231038.6622500001</v>
      </c>
      <c r="H308" s="114">
        <f t="shared" si="154"/>
        <v>1390186.77275</v>
      </c>
      <c r="I308" s="112"/>
      <c r="J308" s="112"/>
    </row>
    <row r="309" spans="1:10" s="19" customFormat="1" ht="15">
      <c r="A309" s="35" t="s">
        <v>537</v>
      </c>
      <c r="B309" s="36" t="s">
        <v>538</v>
      </c>
      <c r="C309" s="95">
        <v>500000</v>
      </c>
      <c r="D309" s="96">
        <v>184245.57</v>
      </c>
      <c r="E309" s="34">
        <f>D309/8*4</f>
        <v>92122.785000000003</v>
      </c>
      <c r="F309" s="34">
        <f>+D309+E309</f>
        <v>276368.35499999998</v>
      </c>
      <c r="G309" s="102">
        <f>+F309*0.05</f>
        <v>13818.417750000001</v>
      </c>
      <c r="H309" s="102">
        <f>+F309+G309</f>
        <v>290186.77275</v>
      </c>
      <c r="I309" s="112"/>
      <c r="J309" s="112"/>
    </row>
    <row r="310" spans="1:10" s="19" customFormat="1" ht="15">
      <c r="A310" s="35" t="s">
        <v>539</v>
      </c>
      <c r="B310" s="36" t="s">
        <v>540</v>
      </c>
      <c r="C310" s="130">
        <v>500000</v>
      </c>
      <c r="D310" s="96">
        <v>443387.33</v>
      </c>
      <c r="E310" s="34">
        <f>3753674.75+147795</f>
        <v>3901469.75</v>
      </c>
      <c r="F310" s="34">
        <f>+D310+E310</f>
        <v>4344857.08</v>
      </c>
      <c r="G310" s="102">
        <f>+H310-F310</f>
        <v>-3244857.08</v>
      </c>
      <c r="H310" s="102">
        <v>1100000</v>
      </c>
      <c r="I310" s="112"/>
      <c r="J310" s="112"/>
    </row>
    <row r="311" spans="1:10" s="19" customFormat="1" ht="15">
      <c r="A311" s="16" t="s">
        <v>541</v>
      </c>
      <c r="B311" s="17" t="s">
        <v>542</v>
      </c>
      <c r="C311" s="95">
        <v>250000</v>
      </c>
      <c r="D311" s="18">
        <v>0</v>
      </c>
      <c r="E311" s="18">
        <f>D311/8*4</f>
        <v>0</v>
      </c>
      <c r="F311" s="18">
        <f>+D311+E311</f>
        <v>0</v>
      </c>
      <c r="G311" s="18">
        <f t="shared" ref="G311:H311" si="155">+E311+F311</f>
        <v>0</v>
      </c>
      <c r="H311" s="114">
        <f t="shared" si="155"/>
        <v>0</v>
      </c>
      <c r="I311" s="112"/>
      <c r="J311" s="112"/>
    </row>
    <row r="312" spans="1:10" s="19" customFormat="1" ht="15">
      <c r="A312" s="16" t="s">
        <v>543</v>
      </c>
      <c r="B312" s="17" t="s">
        <v>544</v>
      </c>
      <c r="C312" s="18">
        <f>+C313+C314+C315</f>
        <v>50000</v>
      </c>
      <c r="D312" s="18">
        <f>+D313+D314+D315</f>
        <v>0</v>
      </c>
      <c r="E312" s="18">
        <f>+E313+E314+E315</f>
        <v>0</v>
      </c>
      <c r="F312" s="18">
        <f>+F313+F314+F315</f>
        <v>0</v>
      </c>
      <c r="G312" s="18">
        <f t="shared" ref="G312:H312" si="156">+G313+G314+G315</f>
        <v>0</v>
      </c>
      <c r="H312" s="114">
        <f t="shared" si="156"/>
        <v>0</v>
      </c>
      <c r="I312" s="112"/>
      <c r="J312" s="112"/>
    </row>
    <row r="313" spans="1:10" s="19" customFormat="1" ht="15">
      <c r="A313" s="35" t="s">
        <v>545</v>
      </c>
      <c r="B313" s="36" t="s">
        <v>546</v>
      </c>
      <c r="C313" s="130">
        <v>50000</v>
      </c>
      <c r="D313" s="115">
        <v>0</v>
      </c>
      <c r="E313" s="34">
        <f>+D313/8*4</f>
        <v>0</v>
      </c>
      <c r="F313" s="34">
        <f>+D313+E313</f>
        <v>0</v>
      </c>
      <c r="G313" s="126">
        <v>0</v>
      </c>
      <c r="H313" s="117">
        <v>0</v>
      </c>
      <c r="I313" s="112"/>
      <c r="J313" s="112"/>
    </row>
    <row r="314" spans="1:10" s="19" customFormat="1" ht="15">
      <c r="A314" s="124" t="s">
        <v>635</v>
      </c>
      <c r="B314" s="124" t="s">
        <v>634</v>
      </c>
      <c r="C314" s="95">
        <v>0</v>
      </c>
      <c r="D314" s="115">
        <v>0</v>
      </c>
      <c r="E314" s="34">
        <f t="shared" ref="E314:E315" si="157">+D314/8*4</f>
        <v>0</v>
      </c>
      <c r="F314" s="34">
        <f t="shared" ref="F314:F315" si="158">+D314+E314</f>
        <v>0</v>
      </c>
      <c r="G314" s="126">
        <v>0</v>
      </c>
      <c r="H314" s="117">
        <v>0</v>
      </c>
      <c r="I314" s="112"/>
      <c r="J314" s="112"/>
    </row>
    <row r="315" spans="1:10" s="19" customFormat="1" ht="15">
      <c r="A315" s="124" t="s">
        <v>637</v>
      </c>
      <c r="B315" s="124" t="s">
        <v>636</v>
      </c>
      <c r="C315" s="95">
        <v>0</v>
      </c>
      <c r="D315" s="115">
        <v>0</v>
      </c>
      <c r="E315" s="34">
        <f t="shared" si="157"/>
        <v>0</v>
      </c>
      <c r="F315" s="34">
        <f t="shared" si="158"/>
        <v>0</v>
      </c>
      <c r="G315" s="126">
        <v>0</v>
      </c>
      <c r="H315" s="117">
        <v>0</v>
      </c>
      <c r="I315" s="112"/>
      <c r="J315" s="112"/>
    </row>
    <row r="316" spans="1:10" s="19" customFormat="1" ht="15">
      <c r="A316" s="16" t="s">
        <v>547</v>
      </c>
      <c r="B316" s="17" t="s">
        <v>548</v>
      </c>
      <c r="C316" s="18">
        <f>+C317+C318</f>
        <v>5000000</v>
      </c>
      <c r="D316" s="18">
        <f>+D317+D318</f>
        <v>0</v>
      </c>
      <c r="E316" s="18">
        <f>+E317+E318</f>
        <v>0</v>
      </c>
      <c r="F316" s="18">
        <f>+F317+F318</f>
        <v>2500000</v>
      </c>
      <c r="G316" s="18">
        <f t="shared" ref="G316:H316" si="159">+G317+G318</f>
        <v>500000</v>
      </c>
      <c r="H316" s="114">
        <f t="shared" si="159"/>
        <v>3000000</v>
      </c>
      <c r="I316" s="112"/>
      <c r="J316" s="112"/>
    </row>
    <row r="317" spans="1:10" s="19" customFormat="1" ht="15">
      <c r="A317" s="35" t="s">
        <v>549</v>
      </c>
      <c r="B317" s="36" t="s">
        <v>550</v>
      </c>
      <c r="C317" s="95">
        <v>4500000</v>
      </c>
      <c r="D317" s="115">
        <v>0</v>
      </c>
      <c r="E317" s="34">
        <f>D317/8*4</f>
        <v>0</v>
      </c>
      <c r="F317" s="34">
        <v>2500000</v>
      </c>
      <c r="G317" s="102">
        <f>+H317-F317</f>
        <v>500000</v>
      </c>
      <c r="H317" s="102">
        <v>3000000</v>
      </c>
      <c r="I317" s="112"/>
      <c r="J317" s="112"/>
    </row>
    <row r="318" spans="1:10" s="19" customFormat="1" ht="15">
      <c r="A318" s="35" t="s">
        <v>551</v>
      </c>
      <c r="B318" s="36" t="s">
        <v>552</v>
      </c>
      <c r="C318" s="95">
        <v>500000</v>
      </c>
      <c r="D318" s="115">
        <v>0</v>
      </c>
      <c r="E318" s="34">
        <f>D318/8*4</f>
        <v>0</v>
      </c>
      <c r="F318" s="34">
        <f>+D318+E318</f>
        <v>0</v>
      </c>
      <c r="G318" s="102">
        <v>0</v>
      </c>
      <c r="H318" s="102">
        <v>0</v>
      </c>
      <c r="I318" s="112"/>
      <c r="J318" s="112"/>
    </row>
    <row r="319" spans="1:10" s="19" customFormat="1" ht="15">
      <c r="A319" s="16" t="s">
        <v>553</v>
      </c>
      <c r="B319" s="17" t="s">
        <v>554</v>
      </c>
      <c r="C319" s="18">
        <f>SUBTOTAL(9,C320:C325)</f>
        <v>15320000</v>
      </c>
      <c r="D319" s="18">
        <f>SUBTOTAL(9,D320:D325)</f>
        <v>3574326.39</v>
      </c>
      <c r="E319" s="18">
        <f>SUBTOTAL(9,E320:E325)</f>
        <v>1787163.1950000001</v>
      </c>
      <c r="F319" s="18">
        <f>SUBTOTAL(9,F320:F325)</f>
        <v>5433999.4149999991</v>
      </c>
      <c r="G319" s="114">
        <f t="shared" ref="G319:H319" si="160">SUBTOTAL(9,G320:G325)</f>
        <v>271699.97075000004</v>
      </c>
      <c r="H319" s="114">
        <f t="shared" si="160"/>
        <v>5705699.3857500004</v>
      </c>
      <c r="I319" s="112"/>
      <c r="J319" s="112"/>
    </row>
    <row r="320" spans="1:10" s="19" customFormat="1" ht="15">
      <c r="A320" s="35" t="s">
        <v>555</v>
      </c>
      <c r="B320" s="36" t="s">
        <v>556</v>
      </c>
      <c r="C320" s="95">
        <v>12000000</v>
      </c>
      <c r="D320" s="96">
        <v>2474445.04</v>
      </c>
      <c r="E320" s="34">
        <f>D320/8*4</f>
        <v>1237222.52</v>
      </c>
      <c r="F320" s="34">
        <f>+D320+E320</f>
        <v>3711667.56</v>
      </c>
      <c r="G320" s="102">
        <f>+F320*0.05</f>
        <v>185583.37800000003</v>
      </c>
      <c r="H320" s="102">
        <f>+F320+G320</f>
        <v>3897250.9380000001</v>
      </c>
      <c r="I320" s="112"/>
      <c r="J320" s="112"/>
    </row>
    <row r="321" spans="1:10" s="19" customFormat="1" ht="15">
      <c r="A321" s="35" t="s">
        <v>557</v>
      </c>
      <c r="B321" s="35" t="s">
        <v>558</v>
      </c>
      <c r="C321" s="95">
        <v>20000</v>
      </c>
      <c r="D321" s="96">
        <v>129426.7</v>
      </c>
      <c r="E321" s="34">
        <f>D321/8*4</f>
        <v>64713.35</v>
      </c>
      <c r="F321" s="34">
        <v>201340.3</v>
      </c>
      <c r="G321" s="102">
        <f t="shared" ref="G321:G324" si="161">+F321*0.05</f>
        <v>10067.014999999999</v>
      </c>
      <c r="H321" s="102">
        <f t="shared" ref="H321:H324" si="162">+F321+G321</f>
        <v>211407.315</v>
      </c>
      <c r="I321" s="112"/>
      <c r="J321" s="112"/>
    </row>
    <row r="322" spans="1:10" s="19" customFormat="1" ht="15">
      <c r="A322" s="124" t="s">
        <v>639</v>
      </c>
      <c r="B322" s="124" t="s">
        <v>638</v>
      </c>
      <c r="C322" s="95">
        <v>0</v>
      </c>
      <c r="D322" s="96">
        <v>36067.31</v>
      </c>
      <c r="E322" s="34">
        <f>D322/8*4</f>
        <v>18033.654999999999</v>
      </c>
      <c r="F322" s="34">
        <f>+D322+E322</f>
        <v>54100.964999999997</v>
      </c>
      <c r="G322" s="102">
        <f t="shared" si="161"/>
        <v>2705.0482499999998</v>
      </c>
      <c r="H322" s="102">
        <f t="shared" si="162"/>
        <v>56806.013249999996</v>
      </c>
      <c r="I322" s="112"/>
      <c r="J322" s="112"/>
    </row>
    <row r="323" spans="1:10" s="19" customFormat="1" ht="15">
      <c r="A323" s="35" t="s">
        <v>559</v>
      </c>
      <c r="B323" s="35" t="s">
        <v>560</v>
      </c>
      <c r="C323" s="130">
        <v>100000</v>
      </c>
      <c r="D323" s="96">
        <v>31481.53</v>
      </c>
      <c r="E323" s="34">
        <f>+D323/8*4</f>
        <v>15740.764999999999</v>
      </c>
      <c r="F323" s="34">
        <f>+D323+E323</f>
        <v>47222.294999999998</v>
      </c>
      <c r="G323" s="102">
        <f t="shared" si="161"/>
        <v>2361.1147500000002</v>
      </c>
      <c r="H323" s="102">
        <f t="shared" si="162"/>
        <v>49583.409749999999</v>
      </c>
      <c r="I323" s="112"/>
      <c r="J323" s="112"/>
    </row>
    <row r="324" spans="1:10" s="19" customFormat="1" ht="15">
      <c r="A324" s="35" t="s">
        <v>561</v>
      </c>
      <c r="B324" s="36" t="s">
        <v>562</v>
      </c>
      <c r="C324" s="95">
        <v>3000000</v>
      </c>
      <c r="D324" s="96">
        <v>856422.25</v>
      </c>
      <c r="E324" s="34">
        <f>+D324/8*4</f>
        <v>428211.125</v>
      </c>
      <c r="F324" s="34">
        <f>+D324+E324</f>
        <v>1284633.375</v>
      </c>
      <c r="G324" s="102">
        <f t="shared" si="161"/>
        <v>64231.668750000004</v>
      </c>
      <c r="H324" s="102">
        <f t="shared" si="162"/>
        <v>1348865.04375</v>
      </c>
      <c r="I324" s="112"/>
      <c r="J324" s="112"/>
    </row>
    <row r="325" spans="1:10" s="25" customFormat="1" ht="15">
      <c r="A325" s="16" t="s">
        <v>563</v>
      </c>
      <c r="B325" s="17" t="s">
        <v>564</v>
      </c>
      <c r="C325" s="18">
        <f>+C326</f>
        <v>200000</v>
      </c>
      <c r="D325" s="18">
        <f>+D326</f>
        <v>46483.56</v>
      </c>
      <c r="E325" s="18">
        <f>+E326</f>
        <v>23241.78</v>
      </c>
      <c r="F325" s="18">
        <f>+F326</f>
        <v>135034.92000000001</v>
      </c>
      <c r="G325" s="114">
        <f t="shared" ref="G325:H325" si="163">+G326</f>
        <v>6751.746000000001</v>
      </c>
      <c r="H325" s="114">
        <f t="shared" si="163"/>
        <v>141786.66600000003</v>
      </c>
      <c r="I325" s="112"/>
      <c r="J325" s="112"/>
    </row>
    <row r="326" spans="1:10" s="19" customFormat="1" ht="15">
      <c r="A326" s="35" t="s">
        <v>565</v>
      </c>
      <c r="B326" s="36" t="s">
        <v>566</v>
      </c>
      <c r="C326" s="95">
        <v>200000</v>
      </c>
      <c r="D326" s="96">
        <v>46483.56</v>
      </c>
      <c r="E326" s="34">
        <f>+D326/8*4</f>
        <v>23241.78</v>
      </c>
      <c r="F326" s="34">
        <v>135034.92000000001</v>
      </c>
      <c r="G326" s="102">
        <f>+F326*0.05</f>
        <v>6751.746000000001</v>
      </c>
      <c r="H326" s="102">
        <f>+F326+G326</f>
        <v>141786.66600000003</v>
      </c>
      <c r="I326" s="112"/>
      <c r="J326" s="112"/>
    </row>
    <row r="327" spans="1:10" s="19" customFormat="1" ht="15">
      <c r="B327" s="36"/>
      <c r="G327" s="102"/>
      <c r="H327" s="102"/>
      <c r="I327" s="112"/>
      <c r="J327" s="112"/>
    </row>
    <row r="328" spans="1:10" s="19" customFormat="1" ht="15">
      <c r="A328" s="132"/>
      <c r="B328" s="132" t="s">
        <v>567</v>
      </c>
      <c r="C328" s="18" t="e">
        <f t="shared" ref="C328:C330" si="164">+C329</f>
        <v>#REF!</v>
      </c>
      <c r="D328" s="18" t="e">
        <f>+D329</f>
        <v>#REF!</v>
      </c>
      <c r="E328" s="18" t="e">
        <f>+E329</f>
        <v>#REF!</v>
      </c>
      <c r="F328" s="18">
        <f>+F329</f>
        <v>112081685.5</v>
      </c>
      <c r="G328" s="18">
        <f>+G329</f>
        <v>61535021.5</v>
      </c>
      <c r="H328" s="114">
        <f>+H329</f>
        <v>173616707</v>
      </c>
      <c r="I328" s="112"/>
      <c r="J328" s="112"/>
    </row>
    <row r="329" spans="1:10" s="19" customFormat="1" ht="15">
      <c r="A329" s="35" t="s">
        <v>568</v>
      </c>
      <c r="B329" s="35" t="s">
        <v>569</v>
      </c>
      <c r="C329" s="18" t="e">
        <f>C330+C345</f>
        <v>#REF!</v>
      </c>
      <c r="D329" s="18" t="e">
        <f>D330+D345</f>
        <v>#REF!</v>
      </c>
      <c r="E329" s="18" t="e">
        <f>E330+E345</f>
        <v>#REF!</v>
      </c>
      <c r="F329" s="18">
        <f>+F330</f>
        <v>112081685.5</v>
      </c>
      <c r="G329" s="18">
        <f>G330+G345</f>
        <v>61535021.5</v>
      </c>
      <c r="H329" s="114">
        <f>H330+H345</f>
        <v>173616707</v>
      </c>
      <c r="I329" s="112"/>
      <c r="J329" s="112"/>
    </row>
    <row r="330" spans="1:10" s="19" customFormat="1" ht="15">
      <c r="A330" s="35" t="s">
        <v>570</v>
      </c>
      <c r="B330" s="35" t="s">
        <v>571</v>
      </c>
      <c r="C330" s="130" t="e">
        <f t="shared" si="164"/>
        <v>#REF!</v>
      </c>
      <c r="D330" s="96" t="e">
        <f>D331</f>
        <v>#REF!</v>
      </c>
      <c r="E330" s="96" t="e">
        <f>E331</f>
        <v>#REF!</v>
      </c>
      <c r="F330" s="96">
        <f>F331</f>
        <v>112081685.5</v>
      </c>
      <c r="G330" s="96">
        <f>G331</f>
        <v>61535021.5</v>
      </c>
      <c r="H330" s="145">
        <f>H331</f>
        <v>173616707</v>
      </c>
      <c r="I330" s="112"/>
      <c r="J330" s="112"/>
    </row>
    <row r="331" spans="1:10" s="25" customFormat="1" ht="25.5">
      <c r="A331" s="16" t="s">
        <v>572</v>
      </c>
      <c r="B331" s="16" t="s">
        <v>573</v>
      </c>
      <c r="C331" s="18" t="e">
        <f>+#REF!+#REF!+C332+C334+C338+C339+C341</f>
        <v>#REF!</v>
      </c>
      <c r="D331" s="18" t="e">
        <f>+#REF!+#REF!+D332+D334+D338+D339+D341</f>
        <v>#REF!</v>
      </c>
      <c r="E331" s="18" t="e">
        <f>+#REF!+#REF!+E332+E334+E338+E339+E341</f>
        <v>#REF!</v>
      </c>
      <c r="F331" s="18">
        <f>+F332+F334+F338+F339+F341</f>
        <v>112081685.5</v>
      </c>
      <c r="G331" s="114">
        <f>+G332+G333+G334+G338+G337</f>
        <v>61535021.5</v>
      </c>
      <c r="H331" s="114">
        <f>+H332+H333+H334+H338+H337</f>
        <v>173616707</v>
      </c>
      <c r="I331" s="112"/>
      <c r="J331" s="112"/>
    </row>
    <row r="332" spans="1:10" s="19" customFormat="1" ht="15">
      <c r="A332" s="35" t="s">
        <v>574</v>
      </c>
      <c r="B332" s="119" t="s">
        <v>701</v>
      </c>
      <c r="C332" s="130">
        <v>84000000</v>
      </c>
      <c r="D332" s="127">
        <v>0</v>
      </c>
      <c r="E332" s="34">
        <v>72011066</v>
      </c>
      <c r="F332" s="34">
        <f>+D332+E332</f>
        <v>72011066</v>
      </c>
      <c r="G332" s="102">
        <f t="shared" ref="G332:G338" si="165">+H332-F332</f>
        <v>11831934</v>
      </c>
      <c r="H332" s="102">
        <v>83843000</v>
      </c>
      <c r="I332" s="112"/>
      <c r="J332" s="112"/>
    </row>
    <row r="333" spans="1:10" s="19" customFormat="1" ht="15">
      <c r="A333" s="35" t="s">
        <v>574</v>
      </c>
      <c r="B333" s="119" t="s">
        <v>605</v>
      </c>
      <c r="C333" s="130"/>
      <c r="D333" s="127"/>
      <c r="E333" s="34"/>
      <c r="F333" s="34">
        <v>0</v>
      </c>
      <c r="G333" s="102">
        <f t="shared" si="165"/>
        <v>0</v>
      </c>
      <c r="H333" s="102">
        <v>0</v>
      </c>
      <c r="I333" s="112"/>
      <c r="J333" s="112"/>
    </row>
    <row r="334" spans="1:10" s="19" customFormat="1" ht="15">
      <c r="A334" s="16" t="s">
        <v>576</v>
      </c>
      <c r="B334" s="17" t="s">
        <v>577</v>
      </c>
      <c r="C334" s="18">
        <f>+C335+C336</f>
        <v>72370000</v>
      </c>
      <c r="D334" s="18">
        <f>+D335+D336</f>
        <v>14609703.039999999</v>
      </c>
      <c r="E334" s="18">
        <f>+E335+E336</f>
        <v>16927308</v>
      </c>
      <c r="F334" s="18">
        <f>+F335+F336</f>
        <v>31537011.039999999</v>
      </c>
      <c r="G334" s="114">
        <f>+H334-F334</f>
        <v>23720680.960000001</v>
      </c>
      <c r="H334" s="114">
        <f>+H335+H336</f>
        <v>55257692</v>
      </c>
      <c r="I334" s="112"/>
      <c r="J334" s="112"/>
    </row>
    <row r="335" spans="1:10" s="19" customFormat="1" ht="15">
      <c r="A335" s="16" t="s">
        <v>578</v>
      </c>
      <c r="B335" s="17" t="s">
        <v>640</v>
      </c>
      <c r="C335" s="130">
        <v>36185000</v>
      </c>
      <c r="D335" s="96">
        <v>14609703.039999999</v>
      </c>
      <c r="E335" s="34">
        <v>0</v>
      </c>
      <c r="F335" s="34">
        <f>+D335+E335</f>
        <v>14609703.039999999</v>
      </c>
      <c r="G335" s="102">
        <f t="shared" si="165"/>
        <v>4462988.9600000009</v>
      </c>
      <c r="H335" s="117">
        <v>19072692</v>
      </c>
      <c r="I335" s="112"/>
      <c r="J335" s="112"/>
    </row>
    <row r="336" spans="1:10" s="19" customFormat="1" ht="15">
      <c r="A336" s="16" t="s">
        <v>578</v>
      </c>
      <c r="B336" s="17" t="s">
        <v>702</v>
      </c>
      <c r="C336" s="130">
        <v>36185000</v>
      </c>
      <c r="D336" s="18">
        <v>0</v>
      </c>
      <c r="E336" s="115">
        <v>16927308</v>
      </c>
      <c r="F336" s="136">
        <f>+D336+E336</f>
        <v>16927308</v>
      </c>
      <c r="G336" s="102">
        <f t="shared" si="165"/>
        <v>19257692</v>
      </c>
      <c r="H336" s="102">
        <v>36185000</v>
      </c>
      <c r="I336" s="112"/>
      <c r="J336" s="112"/>
    </row>
    <row r="337" spans="1:10" s="19" customFormat="1" ht="15">
      <c r="A337" s="16"/>
      <c r="B337" s="17" t="s">
        <v>705</v>
      </c>
      <c r="C337" s="130"/>
      <c r="D337" s="18"/>
      <c r="E337" s="115"/>
      <c r="F337" s="136">
        <v>0</v>
      </c>
      <c r="G337" s="102">
        <f>+H337-F337</f>
        <v>7687500</v>
      </c>
      <c r="H337" s="102">
        <v>7687500</v>
      </c>
      <c r="I337" s="112"/>
      <c r="J337" s="112"/>
    </row>
    <row r="338" spans="1:10" s="19" customFormat="1" ht="15">
      <c r="A338" s="16" t="s">
        <v>579</v>
      </c>
      <c r="B338" s="17" t="s">
        <v>580</v>
      </c>
      <c r="C338" s="18">
        <v>15000000</v>
      </c>
      <c r="D338" s="96">
        <v>6400608.46</v>
      </c>
      <c r="E338" s="136">
        <v>2133000</v>
      </c>
      <c r="F338" s="136">
        <f>+D338+E338</f>
        <v>8533608.4600000009</v>
      </c>
      <c r="G338" s="102">
        <f t="shared" si="165"/>
        <v>18294906.539999999</v>
      </c>
      <c r="H338" s="102">
        <f>15000000+9628515+2200000</f>
        <v>26828515</v>
      </c>
      <c r="I338" s="112"/>
      <c r="J338" s="112"/>
    </row>
    <row r="339" spans="1:10" s="19" customFormat="1" ht="25.5" hidden="1">
      <c r="A339" s="16" t="s">
        <v>581</v>
      </c>
      <c r="B339" s="16" t="s">
        <v>582</v>
      </c>
      <c r="C339" s="18">
        <f>+C340</f>
        <v>19162500</v>
      </c>
      <c r="D339" s="18">
        <f>+D340</f>
        <v>0</v>
      </c>
      <c r="E339" s="18">
        <f>+E340</f>
        <v>0</v>
      </c>
      <c r="F339" s="18">
        <f>+F340</f>
        <v>0</v>
      </c>
      <c r="G339" s="114" t="s">
        <v>600</v>
      </c>
      <c r="H339" s="102"/>
      <c r="I339" s="112"/>
      <c r="J339" s="112"/>
    </row>
    <row r="340" spans="1:10" s="19" customFormat="1" ht="15" hidden="1">
      <c r="A340" s="35" t="s">
        <v>583</v>
      </c>
      <c r="B340" s="119" t="s">
        <v>690</v>
      </c>
      <c r="C340" s="95">
        <v>19162500</v>
      </c>
      <c r="D340" s="130">
        <v>0</v>
      </c>
      <c r="E340" s="34">
        <v>0</v>
      </c>
      <c r="F340" s="34">
        <f>+D340+E340</f>
        <v>0</v>
      </c>
      <c r="G340" s="102"/>
      <c r="H340" s="102"/>
      <c r="I340" s="112"/>
      <c r="J340" s="112"/>
    </row>
    <row r="341" spans="1:10" s="19" customFormat="1" ht="15" hidden="1">
      <c r="A341" s="16" t="s">
        <v>585</v>
      </c>
      <c r="B341" s="16" t="s">
        <v>586</v>
      </c>
      <c r="C341" s="18">
        <f>+C342</f>
        <v>18000000</v>
      </c>
      <c r="D341" s="18">
        <f>+D342</f>
        <v>0</v>
      </c>
      <c r="E341" s="18">
        <f>+E342</f>
        <v>0</v>
      </c>
      <c r="F341" s="18">
        <f>+F342</f>
        <v>0</v>
      </c>
      <c r="G341" s="102"/>
      <c r="H341" s="102"/>
      <c r="I341" s="112"/>
      <c r="J341" s="112"/>
    </row>
    <row r="342" spans="1:10" s="19" customFormat="1" ht="15" hidden="1">
      <c r="A342" s="35" t="s">
        <v>587</v>
      </c>
      <c r="B342" s="36" t="s">
        <v>588</v>
      </c>
      <c r="C342" s="95">
        <v>18000000</v>
      </c>
      <c r="D342" s="130">
        <v>0</v>
      </c>
      <c r="E342" s="34">
        <v>0</v>
      </c>
      <c r="F342" s="34">
        <f>+D342+E342</f>
        <v>0</v>
      </c>
      <c r="G342" s="102"/>
      <c r="H342" s="102"/>
      <c r="I342" s="112"/>
      <c r="J342" s="112"/>
    </row>
    <row r="343" spans="1:10" s="19" customFormat="1" ht="15" hidden="1">
      <c r="A343" s="124" t="s">
        <v>642</v>
      </c>
      <c r="B343" s="124" t="s">
        <v>641</v>
      </c>
      <c r="C343" s="130">
        <f t="shared" ref="C343:F344" si="166">C344</f>
        <v>0</v>
      </c>
      <c r="D343" s="130">
        <f t="shared" si="166"/>
        <v>2705454.97</v>
      </c>
      <c r="E343" s="130">
        <f t="shared" si="166"/>
        <v>1352727</v>
      </c>
      <c r="F343" s="130">
        <f t="shared" si="166"/>
        <v>4058181.97</v>
      </c>
      <c r="G343" s="102"/>
      <c r="H343" s="102"/>
      <c r="I343" s="112"/>
      <c r="J343" s="112"/>
    </row>
    <row r="344" spans="1:10" s="19" customFormat="1" ht="15" hidden="1">
      <c r="A344" s="124" t="s">
        <v>644</v>
      </c>
      <c r="B344" s="124" t="s">
        <v>573</v>
      </c>
      <c r="C344" s="130">
        <f t="shared" si="166"/>
        <v>0</v>
      </c>
      <c r="D344" s="130">
        <f t="shared" si="166"/>
        <v>2705454.97</v>
      </c>
      <c r="E344" s="130">
        <f t="shared" si="166"/>
        <v>1352727</v>
      </c>
      <c r="F344" s="130">
        <f t="shared" si="166"/>
        <v>4058181.97</v>
      </c>
      <c r="G344" s="102"/>
      <c r="H344" s="102"/>
      <c r="I344" s="112"/>
      <c r="J344" s="112"/>
    </row>
    <row r="345" spans="1:10" s="19" customFormat="1" ht="15" hidden="1">
      <c r="A345" s="124" t="s">
        <v>645</v>
      </c>
      <c r="B345" s="124" t="s">
        <v>643</v>
      </c>
      <c r="C345" s="95">
        <v>0</v>
      </c>
      <c r="D345" s="96">
        <v>2705454.97</v>
      </c>
      <c r="E345" s="34">
        <v>1352727</v>
      </c>
      <c r="F345" s="34">
        <f>+D345+E345</f>
        <v>4058181.97</v>
      </c>
      <c r="G345" s="102"/>
      <c r="H345" s="102"/>
      <c r="I345" s="112"/>
      <c r="J345" s="112"/>
    </row>
    <row r="346" spans="1:10" s="19" customFormat="1" ht="15">
      <c r="A346" s="132"/>
      <c r="B346" s="25" t="s">
        <v>646</v>
      </c>
      <c r="C346" s="18">
        <f>C347</f>
        <v>470000</v>
      </c>
      <c r="D346" s="18">
        <f>D350</f>
        <v>47500</v>
      </c>
      <c r="E346" s="18">
        <f>E350</f>
        <v>0</v>
      </c>
      <c r="F346" s="18">
        <f>F350</f>
        <v>95000</v>
      </c>
      <c r="G346" s="114">
        <f t="shared" ref="G346:H346" si="167">G350</f>
        <v>305000</v>
      </c>
      <c r="H346" s="114">
        <f t="shared" si="167"/>
        <v>400000</v>
      </c>
      <c r="I346" s="112"/>
      <c r="J346" s="112"/>
    </row>
    <row r="347" spans="1:10" s="25" customFormat="1" ht="15">
      <c r="A347" s="25" t="s">
        <v>650</v>
      </c>
      <c r="B347" s="25" t="s">
        <v>647</v>
      </c>
      <c r="C347" s="136">
        <v>470000</v>
      </c>
      <c r="D347" s="136">
        <v>0</v>
      </c>
      <c r="E347" s="136">
        <f t="shared" ref="E347:E348" si="168">D347/8*4</f>
        <v>0</v>
      </c>
      <c r="F347" s="136">
        <f>+F348</f>
        <v>0</v>
      </c>
      <c r="G347" s="136">
        <f t="shared" ref="G347:H348" si="169">+G348</f>
        <v>0</v>
      </c>
      <c r="H347" s="141">
        <f t="shared" si="169"/>
        <v>0</v>
      </c>
      <c r="I347" s="112"/>
      <c r="J347" s="112"/>
    </row>
    <row r="348" spans="1:10" s="19" customFormat="1" ht="15" hidden="1">
      <c r="A348" s="124" t="s">
        <v>651</v>
      </c>
      <c r="B348" s="139" t="s">
        <v>648</v>
      </c>
      <c r="C348" s="95">
        <v>470000</v>
      </c>
      <c r="D348" s="115">
        <v>0</v>
      </c>
      <c r="E348" s="34">
        <f t="shared" si="168"/>
        <v>0</v>
      </c>
      <c r="F348" s="34">
        <f>+F349</f>
        <v>0</v>
      </c>
      <c r="G348" s="34">
        <f t="shared" si="169"/>
        <v>0</v>
      </c>
      <c r="H348" s="142">
        <f t="shared" si="169"/>
        <v>0</v>
      </c>
      <c r="I348" s="112"/>
      <c r="J348" s="112"/>
    </row>
    <row r="349" spans="1:10" s="19" customFormat="1" ht="15" hidden="1">
      <c r="A349" s="146" t="s">
        <v>652</v>
      </c>
      <c r="B349" s="139" t="s">
        <v>704</v>
      </c>
      <c r="C349" s="127">
        <v>470000</v>
      </c>
      <c r="D349" s="115">
        <v>0</v>
      </c>
      <c r="E349" s="34">
        <f>D349/8*4</f>
        <v>0</v>
      </c>
      <c r="F349" s="34">
        <f t="shared" ref="F349" si="170">+D349+E349</f>
        <v>0</v>
      </c>
      <c r="G349" s="102">
        <v>0</v>
      </c>
      <c r="H349" s="102">
        <v>0</v>
      </c>
      <c r="I349" s="112"/>
      <c r="J349" s="112"/>
    </row>
    <row r="350" spans="1:10" s="19" customFormat="1" ht="15">
      <c r="A350" s="138" t="s">
        <v>679</v>
      </c>
      <c r="B350" s="25" t="s">
        <v>680</v>
      </c>
      <c r="C350" s="136">
        <f>C351</f>
        <v>0</v>
      </c>
      <c r="D350" s="136">
        <f>D351</f>
        <v>47500</v>
      </c>
      <c r="E350" s="136">
        <f>E351</f>
        <v>0</v>
      </c>
      <c r="F350" s="136">
        <f>F351</f>
        <v>95000</v>
      </c>
      <c r="G350" s="102">
        <f>+H350-F350</f>
        <v>305000</v>
      </c>
      <c r="H350" s="102">
        <f>+H351</f>
        <v>400000</v>
      </c>
      <c r="I350" s="112"/>
      <c r="J350" s="112"/>
    </row>
    <row r="351" spans="1:10" s="19" customFormat="1" ht="15">
      <c r="A351" s="138" t="s">
        <v>681</v>
      </c>
      <c r="B351" s="138" t="s">
        <v>682</v>
      </c>
      <c r="C351" s="18">
        <v>0</v>
      </c>
      <c r="D351" s="115">
        <v>47500</v>
      </c>
      <c r="E351" s="18">
        <v>0</v>
      </c>
      <c r="F351" s="34">
        <f>+F352</f>
        <v>95000</v>
      </c>
      <c r="G351" s="102">
        <f>+H351-F351</f>
        <v>305000</v>
      </c>
      <c r="H351" s="142">
        <f>+H352</f>
        <v>400000</v>
      </c>
      <c r="I351" s="112"/>
      <c r="J351" s="112"/>
    </row>
    <row r="352" spans="1:10" s="19" customFormat="1" ht="15">
      <c r="A352" s="138" t="s">
        <v>683</v>
      </c>
      <c r="B352" s="138" t="s">
        <v>684</v>
      </c>
      <c r="C352" s="18">
        <v>0</v>
      </c>
      <c r="D352" s="96">
        <v>47500</v>
      </c>
      <c r="E352" s="18">
        <v>0</v>
      </c>
      <c r="F352" s="34">
        <v>95000</v>
      </c>
      <c r="G352" s="102">
        <f>+H352-F352</f>
        <v>305000</v>
      </c>
      <c r="H352" s="102">
        <v>400000</v>
      </c>
      <c r="I352" s="112"/>
      <c r="J352" s="112"/>
    </row>
    <row r="353" spans="1:10" s="19" customFormat="1" ht="15">
      <c r="A353" s="124"/>
      <c r="B353" s="25" t="s">
        <v>589</v>
      </c>
      <c r="C353" s="18">
        <f>+C354+C357</f>
        <v>220230000</v>
      </c>
      <c r="D353" s="18">
        <f>+D354+D357</f>
        <v>222277402.44999999</v>
      </c>
      <c r="E353" s="18">
        <f>+E354+E357</f>
        <v>2168133.5</v>
      </c>
      <c r="F353" s="18">
        <f>+F354+F357</f>
        <v>224445535.94999999</v>
      </c>
      <c r="G353" s="18">
        <f t="shared" ref="G353:H353" si="171">+G354+G357</f>
        <v>30222276.797499999</v>
      </c>
      <c r="H353" s="114">
        <f t="shared" si="171"/>
        <v>254667812.7475</v>
      </c>
      <c r="I353" s="112"/>
      <c r="J353" s="112"/>
    </row>
    <row r="354" spans="1:10" s="25" customFormat="1" ht="15">
      <c r="A354" s="16" t="s">
        <v>590</v>
      </c>
      <c r="B354" s="17" t="s">
        <v>591</v>
      </c>
      <c r="C354" s="18">
        <f t="shared" ref="C354:H355" si="172">+C355</f>
        <v>230000</v>
      </c>
      <c r="D354" s="18">
        <f t="shared" si="172"/>
        <v>2277402.4500000002</v>
      </c>
      <c r="E354" s="18">
        <f t="shared" si="172"/>
        <v>2168133.5</v>
      </c>
      <c r="F354" s="18">
        <f t="shared" si="172"/>
        <v>4445535.95</v>
      </c>
      <c r="G354" s="102">
        <f>+H354-F354</f>
        <v>222276.79750000034</v>
      </c>
      <c r="H354" s="114">
        <f t="shared" si="172"/>
        <v>4667812.7475000005</v>
      </c>
      <c r="I354" s="112"/>
      <c r="J354" s="112"/>
    </row>
    <row r="355" spans="1:10" s="19" customFormat="1" ht="15">
      <c r="A355" s="35" t="s">
        <v>592</v>
      </c>
      <c r="B355" s="36" t="s">
        <v>593</v>
      </c>
      <c r="C355" s="95">
        <v>230000</v>
      </c>
      <c r="D355" s="130">
        <f t="shared" si="172"/>
        <v>2277402.4500000002</v>
      </c>
      <c r="E355" s="130">
        <f t="shared" si="172"/>
        <v>2168133.5</v>
      </c>
      <c r="F355" s="130">
        <f t="shared" si="172"/>
        <v>4445535.95</v>
      </c>
      <c r="G355" s="102">
        <f>+H355-F355</f>
        <v>222276.79750000034</v>
      </c>
      <c r="H355" s="102">
        <f>+H356</f>
        <v>4667812.7475000005</v>
      </c>
      <c r="I355" s="112"/>
      <c r="J355" s="112"/>
    </row>
    <row r="356" spans="1:10" s="19" customFormat="1" ht="15">
      <c r="A356" s="35" t="s">
        <v>594</v>
      </c>
      <c r="B356" s="36" t="s">
        <v>595</v>
      </c>
      <c r="C356" s="95">
        <v>230000</v>
      </c>
      <c r="D356" s="115">
        <v>2277402.4500000002</v>
      </c>
      <c r="E356" s="115">
        <v>2168133.5</v>
      </c>
      <c r="F356" s="34">
        <f>+D356+E356</f>
        <v>4445535.95</v>
      </c>
      <c r="G356" s="102">
        <f>+F356*0.05</f>
        <v>222276.79750000002</v>
      </c>
      <c r="H356" s="102">
        <f>+F356+G356</f>
        <v>4667812.7475000005</v>
      </c>
      <c r="I356" s="112"/>
      <c r="J356" s="112"/>
    </row>
    <row r="357" spans="1:10" s="25" customFormat="1" ht="15">
      <c r="A357" s="16" t="s">
        <v>596</v>
      </c>
      <c r="B357" s="16" t="s">
        <v>597</v>
      </c>
      <c r="C357" s="18">
        <v>220000000</v>
      </c>
      <c r="D357" s="115">
        <v>220000000</v>
      </c>
      <c r="E357" s="147">
        <v>0</v>
      </c>
      <c r="F357" s="136">
        <f>+D357+E357</f>
        <v>220000000</v>
      </c>
      <c r="G357" s="102">
        <f>+H357-F357</f>
        <v>30000000</v>
      </c>
      <c r="H357" s="141">
        <v>250000000</v>
      </c>
      <c r="I357" s="112"/>
      <c r="J357" s="112"/>
    </row>
    <row r="358" spans="1:10" s="19" customFormat="1" ht="15">
      <c r="B358" s="36"/>
      <c r="E358" s="34"/>
      <c r="G358" s="102"/>
      <c r="H358" s="102"/>
      <c r="I358" s="112"/>
      <c r="J358" s="112"/>
    </row>
    <row r="359" spans="1:10" s="19" customFormat="1" ht="16.5" thickBot="1">
      <c r="A359" s="16" t="s">
        <v>598</v>
      </c>
      <c r="B359" s="16"/>
      <c r="C359" s="148" t="e">
        <f t="shared" ref="C359:H359" si="173">+C353+C328+C307+C303+C295+C123+C66+C6+C346</f>
        <v>#REF!</v>
      </c>
      <c r="D359" s="148" t="e">
        <f t="shared" si="173"/>
        <v>#REF!</v>
      </c>
      <c r="E359" s="148" t="e">
        <f t="shared" si="173"/>
        <v>#REF!</v>
      </c>
      <c r="F359" s="148">
        <f t="shared" si="173"/>
        <v>1223642006.8150001</v>
      </c>
      <c r="G359" s="149">
        <f t="shared" si="173"/>
        <v>269483209.86925</v>
      </c>
      <c r="H359" s="149">
        <f t="shared" si="173"/>
        <v>1493125216.6842501</v>
      </c>
      <c r="I359" s="112"/>
      <c r="J359" s="112"/>
    </row>
    <row r="360" spans="1:10" s="19" customFormat="1" ht="13.5" thickTop="1">
      <c r="B360" s="36"/>
      <c r="G360" s="102"/>
      <c r="H360" s="102"/>
      <c r="I360" s="150"/>
    </row>
    <row r="361" spans="1:10" s="19" customFormat="1">
      <c r="B361" s="36"/>
      <c r="C361" s="34"/>
      <c r="E361" s="34"/>
      <c r="F361" s="115" t="s">
        <v>600</v>
      </c>
      <c r="G361" s="117" t="s">
        <v>600</v>
      </c>
      <c r="H361" s="102"/>
    </row>
    <row r="362" spans="1:10" s="19" customFormat="1">
      <c r="A362" s="35"/>
      <c r="B362" s="35"/>
      <c r="C362" s="35"/>
      <c r="D362" s="35"/>
      <c r="F362" s="151" t="s">
        <v>600</v>
      </c>
      <c r="G362" s="102" t="s">
        <v>600</v>
      </c>
      <c r="H362" s="102"/>
    </row>
    <row r="363" spans="1:10" s="19" customFormat="1">
      <c r="B363" s="36"/>
      <c r="G363" s="102"/>
      <c r="H363" s="102"/>
    </row>
    <row r="364" spans="1:10" s="19" customFormat="1">
      <c r="B364" s="36"/>
      <c r="G364" s="102"/>
      <c r="H364" s="102"/>
    </row>
    <row r="365" spans="1:10" s="19" customFormat="1" ht="13.5">
      <c r="A365" s="152"/>
      <c r="B365" s="152"/>
      <c r="G365" s="102"/>
      <c r="H365" s="102"/>
    </row>
    <row r="366" spans="1:10" s="19" customFormat="1" ht="13.5">
      <c r="A366" s="152"/>
      <c r="B366" s="152"/>
      <c r="G366" s="102"/>
      <c r="H366" s="102"/>
    </row>
    <row r="367" spans="1:10" s="19" customFormat="1">
      <c r="B367" s="36"/>
      <c r="G367" s="102"/>
      <c r="H367" s="102"/>
    </row>
    <row r="368" spans="1:10" s="19" customFormat="1">
      <c r="B368" s="36"/>
      <c r="E368" s="34"/>
      <c r="G368" s="102"/>
      <c r="H368" s="102"/>
    </row>
    <row r="370" spans="6:6">
      <c r="F370" s="87"/>
    </row>
  </sheetData>
  <mergeCells count="1">
    <mergeCell ref="B1:F1"/>
  </mergeCells>
  <pageMargins left="0.70866141732283472" right="0.70866141732283472" top="0.74803149606299213" bottom="0.74803149606299213" header="0.31496062992125984" footer="0.31496062992125984"/>
  <pageSetup scale="90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Clasificador agosto</vt:lpstr>
      <vt:lpstr>cierre 2020 normal</vt:lpstr>
      <vt:lpstr>ANALITICA PTTO 2021</vt:lpstr>
      <vt:lpstr>'ANALITICA PTTO 2021'!Área_de_impresión</vt:lpstr>
      <vt:lpstr>'cierre 2020 normal'!Área_de_impresión</vt:lpstr>
      <vt:lpstr>'ANALITICA PTTO 2021'!Títulos_a_imprimir</vt:lpstr>
      <vt:lpstr>'cierre 2020 normal'!Títulos_a_imprimir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Crystal Decisions</dc:creator>
  <dc:description>Powered by Crystal</dc:description>
  <cp:lastModifiedBy>irma.aguiñagaa</cp:lastModifiedBy>
  <cp:lastPrinted>2021-03-08T22:06:25Z</cp:lastPrinted>
  <dcterms:created xsi:type="dcterms:W3CDTF">2019-10-24T21:13:20Z</dcterms:created>
  <dcterms:modified xsi:type="dcterms:W3CDTF">2021-08-03T19:12:40Z</dcterms:modified>
</cp:coreProperties>
</file>